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928" tabRatio="681" activeTab="0"/>
  </bookViews>
  <sheets>
    <sheet name="сводный расчёт" sheetId="1" r:id="rId1"/>
  </sheets>
  <definedNames>
    <definedName name="_xlnm.Print_Area" localSheetId="0">'сводный расчёт'!$A$1:$Y$45</definedName>
  </definedNames>
  <calcPr fullCalcOnLoad="1"/>
</workbook>
</file>

<file path=xl/sharedStrings.xml><?xml version="1.0" encoding="utf-8"?>
<sst xmlns="http://schemas.openxmlformats.org/spreadsheetml/2006/main" count="105" uniqueCount="51">
  <si>
    <t>Итого:</t>
  </si>
  <si>
    <t>ВСЕГО:</t>
  </si>
  <si>
    <t>5-ти этажные дома</t>
  </si>
  <si>
    <t>9-ти этажные дома</t>
  </si>
  <si>
    <t>№ п/п</t>
  </si>
  <si>
    <t xml:space="preserve">Ленинградская </t>
  </si>
  <si>
    <t xml:space="preserve">Ленинградская   </t>
  </si>
  <si>
    <t xml:space="preserve">Бакинская   </t>
  </si>
  <si>
    <t xml:space="preserve">Бакинская </t>
  </si>
  <si>
    <t>Норматив ОДН по электроэнергии на дом в целях содержания МКД, кВт</t>
  </si>
  <si>
    <t xml:space="preserve"> </t>
  </si>
  <si>
    <r>
      <t>Текущий ремонт, руб./м</t>
    </r>
    <r>
      <rPr>
        <b/>
        <sz val="12"/>
        <rFont val="Calibri"/>
        <family val="2"/>
      </rPr>
      <t>²</t>
    </r>
  </si>
  <si>
    <r>
      <t>Всего тариф,     руб./м</t>
    </r>
    <r>
      <rPr>
        <b/>
        <sz val="12"/>
        <rFont val="Calibri"/>
        <family val="2"/>
      </rPr>
      <t>²</t>
    </r>
  </si>
  <si>
    <t>И.о. директора ООО "Жильё"</t>
  </si>
  <si>
    <t xml:space="preserve"> ХВ </t>
  </si>
  <si>
    <t>ГВ</t>
  </si>
  <si>
    <r>
      <t>Норматив потребления м</t>
    </r>
    <r>
      <rPr>
        <b/>
        <sz val="12"/>
        <rFont val="Calibri"/>
        <family val="2"/>
      </rPr>
      <t>³ на 1м² МОП</t>
    </r>
  </si>
  <si>
    <t>Тариф  руб.</t>
  </si>
  <si>
    <t xml:space="preserve"> ХВ</t>
  </si>
  <si>
    <t xml:space="preserve"> ГВ</t>
  </si>
  <si>
    <t>Стоки</t>
  </si>
  <si>
    <t>Норматив на дом на в целях содержания МКД</t>
  </si>
  <si>
    <t>Адрес  (улица)</t>
  </si>
  <si>
    <r>
      <t>Содержание жилья, руб./м</t>
    </r>
    <r>
      <rPr>
        <b/>
        <sz val="12"/>
        <rFont val="Calibri"/>
        <family val="2"/>
      </rPr>
      <t>²</t>
    </r>
  </si>
  <si>
    <t xml:space="preserve">дом № </t>
  </si>
  <si>
    <r>
      <t>Площадь МОП для водоснабжения, м</t>
    </r>
    <r>
      <rPr>
        <b/>
        <sz val="12"/>
        <rFont val="Calibri"/>
        <family val="2"/>
      </rPr>
      <t>²</t>
    </r>
  </si>
  <si>
    <t>норматив потребления кВт на 1м² МОП</t>
  </si>
  <si>
    <t>тариф руб.</t>
  </si>
  <si>
    <r>
      <t>Площадь жилых и нежилых помещений, м</t>
    </r>
    <r>
      <rPr>
        <b/>
        <sz val="12"/>
        <rFont val="Calibri"/>
        <family val="2"/>
      </rPr>
      <t>²</t>
    </r>
  </si>
  <si>
    <r>
      <t>Площадь МОП для электро- энергии, м</t>
    </r>
    <r>
      <rPr>
        <b/>
        <sz val="12"/>
        <rFont val="Calibri"/>
        <family val="2"/>
      </rPr>
      <t>²</t>
    </r>
  </si>
  <si>
    <t xml:space="preserve">Главный бухгалтер </t>
  </si>
  <si>
    <t>Горлова Э.В.  т.2-88-38</t>
  </si>
  <si>
    <t xml:space="preserve">Бухгалтер-экономист  </t>
  </si>
  <si>
    <t xml:space="preserve">Сарахина И.А.  </t>
  </si>
  <si>
    <t>Эл.энергия</t>
  </si>
  <si>
    <t>по ОДПУ, за счёт средств собственников жилья</t>
  </si>
  <si>
    <t>КР в целях содержания МКД на 1 м²/ руб.</t>
  </si>
  <si>
    <t>Стоки (по нормативу)</t>
  </si>
  <si>
    <t>УТВЕРЖДАЮ:</t>
  </si>
  <si>
    <t xml:space="preserve"> расчёта стоимости содержания жилого помещения и текущий ремонт в МКД</t>
  </si>
  <si>
    <t>СВОДНАЯ ВЕДОМОСТЬ</t>
  </si>
  <si>
    <t>где :</t>
  </si>
  <si>
    <t>Сарахина И.А.</t>
  </si>
  <si>
    <t>Горлова Э.В.</t>
  </si>
  <si>
    <t>с 01 июля 2019 года</t>
  </si>
  <si>
    <t>Деликанов М.Т.</t>
  </si>
  <si>
    <t>1806,1- стоимость 1-й гикаколории подогрева хв для гв</t>
  </si>
  <si>
    <t>без ТКО!</t>
  </si>
  <si>
    <r>
      <t>стоимость 1м</t>
    </r>
    <r>
      <rPr>
        <b/>
        <sz val="16"/>
        <color indexed="40"/>
        <rFont val="Calibri"/>
        <family val="2"/>
      </rPr>
      <t>³</t>
    </r>
    <r>
      <rPr>
        <b/>
        <sz val="16"/>
        <color indexed="40"/>
        <rFont val="Times New Roman"/>
        <family val="1"/>
      </rPr>
      <t xml:space="preserve"> ГВ</t>
    </r>
  </si>
  <si>
    <r>
      <t>0,0834-норматив для подогрева воды 1м</t>
    </r>
    <r>
      <rPr>
        <b/>
        <sz val="12"/>
        <color indexed="40"/>
        <rFont val="Arial"/>
        <family val="2"/>
      </rPr>
      <t>³</t>
    </r>
  </si>
  <si>
    <r>
      <t>40,52- стоимость 1 м³</t>
    </r>
    <r>
      <rPr>
        <b/>
        <sz val="8.4"/>
        <color indexed="40"/>
        <rFont val="Arial"/>
        <family val="2"/>
      </rPr>
      <t xml:space="preserve"> ХВ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</si>
</sst>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#,##0.000"/>
    <numFmt numFmtId="182" formatCode="#,##0.000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6"/>
      <color indexed="40"/>
      <name val="Times New Roman"/>
      <family val="1"/>
    </font>
    <font>
      <b/>
      <sz val="16"/>
      <color indexed="40"/>
      <name val="Calibri"/>
      <family val="2"/>
    </font>
    <font>
      <b/>
      <sz val="12"/>
      <color indexed="40"/>
      <name val="Arial"/>
      <family val="2"/>
    </font>
    <font>
      <b/>
      <sz val="8.4"/>
      <color indexed="4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 Cyr"/>
      <family val="0"/>
    </font>
    <font>
      <b/>
      <sz val="12"/>
      <color indexed="40"/>
      <name val="Times New Roman"/>
      <family val="1"/>
    </font>
    <font>
      <b/>
      <sz val="16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 Cyr"/>
      <family val="0"/>
    </font>
    <font>
      <b/>
      <sz val="12"/>
      <color rgb="FF00B0F0"/>
      <name val="Times New Roman"/>
      <family val="1"/>
    </font>
    <font>
      <b/>
      <sz val="16"/>
      <color rgb="FF00B0F0"/>
      <name val="Arial Cyr"/>
      <family val="0"/>
    </font>
    <font>
      <b/>
      <sz val="16"/>
      <color rgb="FF00B0F0"/>
      <name val="Times New Roman"/>
      <family val="1"/>
    </font>
    <font>
      <b/>
      <sz val="12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181" fontId="3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53" fillId="31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4" fontId="55" fillId="33" borderId="0" xfId="0" applyNumberFormat="1" applyFont="1" applyFill="1" applyAlignment="1">
      <alignment horizontal="left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SheetLayoutView="80" zoomScalePageLayoutView="0" workbookViewId="0" topLeftCell="A1">
      <selection activeCell="AH20" sqref="AH20"/>
    </sheetView>
  </sheetViews>
  <sheetFormatPr defaultColWidth="9.125" defaultRowHeight="12.75"/>
  <cols>
    <col min="1" max="1" width="4.50390625" style="2" customWidth="1"/>
    <col min="2" max="2" width="17.50390625" style="2" customWidth="1"/>
    <col min="3" max="3" width="5.50390625" style="2" customWidth="1"/>
    <col min="4" max="4" width="17.50390625" style="2" customWidth="1"/>
    <col min="5" max="5" width="13.00390625" style="2" hidden="1" customWidth="1"/>
    <col min="6" max="6" width="11.50390625" style="2" hidden="1" customWidth="1"/>
    <col min="7" max="8" width="8.625" style="2" hidden="1" customWidth="1"/>
    <col min="9" max="9" width="7.875" style="2" hidden="1" customWidth="1"/>
    <col min="10" max="13" width="8.625" style="2" hidden="1" customWidth="1"/>
    <col min="14" max="14" width="8.625" style="1" hidden="1" customWidth="1"/>
    <col min="15" max="15" width="7.875" style="2" hidden="1" customWidth="1"/>
    <col min="16" max="16" width="14.50390625" style="2" customWidth="1"/>
    <col min="17" max="18" width="15.50390625" style="2" customWidth="1"/>
    <col min="19" max="19" width="10.875" style="2" hidden="1" customWidth="1"/>
    <col min="20" max="20" width="14.50390625" style="2" hidden="1" customWidth="1"/>
    <col min="21" max="21" width="11.00390625" style="2" hidden="1" customWidth="1"/>
    <col min="22" max="22" width="19.50390625" style="2" customWidth="1"/>
    <col min="23" max="23" width="15.50390625" style="2" customWidth="1"/>
    <col min="24" max="24" width="11.00390625" style="2" customWidth="1"/>
    <col min="25" max="25" width="12.50390625" style="3" customWidth="1"/>
    <col min="26" max="26" width="9.125" style="3" customWidth="1"/>
    <col min="27" max="27" width="11.875" style="3" customWidth="1"/>
    <col min="28" max="16384" width="9.125" style="3" customWidth="1"/>
  </cols>
  <sheetData>
    <row r="1" spans="22:25" ht="21.75" customHeight="1">
      <c r="V1" s="16" t="s">
        <v>38</v>
      </c>
      <c r="W1" s="16"/>
      <c r="X1" s="17"/>
      <c r="Y1" s="17"/>
    </row>
    <row r="2" spans="22:25" ht="21" customHeight="1">
      <c r="V2" s="16" t="s">
        <v>13</v>
      </c>
      <c r="W2" s="16"/>
      <c r="X2" s="17"/>
      <c r="Y2" s="17"/>
    </row>
    <row r="3" spans="22:25" ht="21.75" customHeight="1">
      <c r="V3" s="16"/>
      <c r="W3" s="16"/>
      <c r="X3" s="17"/>
      <c r="Y3" s="17"/>
    </row>
    <row r="4" spans="16:25" ht="22.5" customHeight="1">
      <c r="P4" s="29"/>
      <c r="V4" s="40"/>
      <c r="W4" s="41"/>
      <c r="X4" s="16" t="s">
        <v>45</v>
      </c>
      <c r="Y4" s="17"/>
    </row>
    <row r="5" spans="1:25" s="4" customFormat="1" ht="36" customHeight="1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7" s="4" customFormat="1" ht="18.75" customHeight="1">
      <c r="A6" s="66" t="s">
        <v>39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AA6" s="45" t="s">
        <v>47</v>
      </c>
    </row>
    <row r="7" spans="1:25" s="4" customFormat="1" ht="18.75" customHeight="1">
      <c r="A7" s="67" t="s">
        <v>44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</row>
    <row r="8" spans="1:25" s="4" customFormat="1" ht="29.25" customHeight="1">
      <c r="A8" s="51" t="s">
        <v>4</v>
      </c>
      <c r="B8" s="53" t="s">
        <v>22</v>
      </c>
      <c r="C8" s="51" t="s">
        <v>24</v>
      </c>
      <c r="D8" s="51" t="s">
        <v>28</v>
      </c>
      <c r="E8" s="51" t="s">
        <v>25</v>
      </c>
      <c r="F8" s="51" t="s">
        <v>29</v>
      </c>
      <c r="G8" s="58" t="s">
        <v>16</v>
      </c>
      <c r="H8" s="58"/>
      <c r="I8" s="58"/>
      <c r="J8" s="58" t="s">
        <v>21</v>
      </c>
      <c r="K8" s="58"/>
      <c r="L8" s="58"/>
      <c r="M8" s="23" t="s">
        <v>17</v>
      </c>
      <c r="N8" s="34"/>
      <c r="O8" s="23"/>
      <c r="P8" s="63" t="s">
        <v>36</v>
      </c>
      <c r="Q8" s="64"/>
      <c r="R8" s="64"/>
      <c r="S8" s="64"/>
      <c r="T8" s="64"/>
      <c r="U8" s="64"/>
      <c r="V8" s="65"/>
      <c r="W8" s="51" t="s">
        <v>23</v>
      </c>
      <c r="X8" s="51" t="s">
        <v>11</v>
      </c>
      <c r="Y8" s="51" t="s">
        <v>12</v>
      </c>
    </row>
    <row r="9" spans="1:26" s="19" customFormat="1" ht="38.25" customHeight="1">
      <c r="A9" s="52"/>
      <c r="B9" s="54"/>
      <c r="C9" s="52"/>
      <c r="D9" s="52"/>
      <c r="E9" s="52"/>
      <c r="F9" s="52"/>
      <c r="G9" s="28" t="s">
        <v>14</v>
      </c>
      <c r="H9" s="28" t="s">
        <v>15</v>
      </c>
      <c r="I9" s="28" t="s">
        <v>20</v>
      </c>
      <c r="J9" s="28" t="s">
        <v>18</v>
      </c>
      <c r="K9" s="28" t="s">
        <v>19</v>
      </c>
      <c r="L9" s="28" t="s">
        <v>20</v>
      </c>
      <c r="M9" s="28" t="s">
        <v>18</v>
      </c>
      <c r="N9" s="28" t="s">
        <v>19</v>
      </c>
      <c r="O9" s="28" t="s">
        <v>20</v>
      </c>
      <c r="P9" s="28" t="s">
        <v>37</v>
      </c>
      <c r="Q9" s="28" t="s">
        <v>18</v>
      </c>
      <c r="R9" s="28" t="s">
        <v>19</v>
      </c>
      <c r="S9" s="28" t="s">
        <v>26</v>
      </c>
      <c r="T9" s="28" t="s">
        <v>27</v>
      </c>
      <c r="U9" s="28" t="s">
        <v>9</v>
      </c>
      <c r="V9" s="32" t="s">
        <v>34</v>
      </c>
      <c r="W9" s="52"/>
      <c r="X9" s="52"/>
      <c r="Y9" s="52"/>
      <c r="Z9" s="18"/>
    </row>
    <row r="10" spans="1:26" s="30" customFormat="1" ht="16.5" customHeight="1">
      <c r="A10" s="43">
        <v>1</v>
      </c>
      <c r="B10" s="44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/>
      <c r="K10" s="43"/>
      <c r="L10" s="43"/>
      <c r="M10" s="43">
        <v>10</v>
      </c>
      <c r="N10" s="43">
        <v>11</v>
      </c>
      <c r="O10" s="43">
        <v>12</v>
      </c>
      <c r="P10" s="43">
        <v>5</v>
      </c>
      <c r="Q10" s="43">
        <v>6</v>
      </c>
      <c r="R10" s="43">
        <v>7</v>
      </c>
      <c r="S10" s="43"/>
      <c r="T10" s="43"/>
      <c r="U10" s="43"/>
      <c r="V10" s="43">
        <v>8</v>
      </c>
      <c r="W10" s="43">
        <v>9</v>
      </c>
      <c r="X10" s="43">
        <v>10</v>
      </c>
      <c r="Y10" s="43">
        <v>11</v>
      </c>
      <c r="Z10" s="29"/>
    </row>
    <row r="11" spans="1:25" s="2" customFormat="1" ht="15" customHeight="1">
      <c r="A11" s="59" t="s">
        <v>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1"/>
    </row>
    <row r="12" spans="1:29" s="33" customFormat="1" ht="27.75" customHeight="1">
      <c r="A12" s="6">
        <v>1</v>
      </c>
      <c r="B12" s="38" t="s">
        <v>5</v>
      </c>
      <c r="C12" s="6">
        <v>1</v>
      </c>
      <c r="D12" s="7">
        <v>3544.8</v>
      </c>
      <c r="E12" s="7">
        <f>293.8+9.6</f>
        <v>303.40000000000003</v>
      </c>
      <c r="F12" s="7">
        <f>293.8+19.2+24+121.1</f>
        <v>458.1</v>
      </c>
      <c r="G12" s="15">
        <v>0.036</v>
      </c>
      <c r="H12" s="15">
        <v>0.036</v>
      </c>
      <c r="I12" s="15">
        <v>0.072</v>
      </c>
      <c r="J12" s="7">
        <f aca="true" t="shared" si="0" ref="J12:J35">E12*G12</f>
        <v>10.9224</v>
      </c>
      <c r="K12" s="7">
        <f aca="true" t="shared" si="1" ref="K12:K35">E12*H12</f>
        <v>10.9224</v>
      </c>
      <c r="L12" s="7">
        <f>E12*I12</f>
        <v>21.8448</v>
      </c>
      <c r="M12" s="7">
        <v>39.73</v>
      </c>
      <c r="N12" s="38">
        <v>164.21</v>
      </c>
      <c r="O12" s="7">
        <v>45.32</v>
      </c>
      <c r="P12" s="7">
        <f>L12*O12/D12</f>
        <v>0.2792841164522681</v>
      </c>
      <c r="Q12" s="55" t="s">
        <v>35</v>
      </c>
      <c r="R12" s="56"/>
      <c r="S12" s="56"/>
      <c r="T12" s="56"/>
      <c r="U12" s="56"/>
      <c r="V12" s="57"/>
      <c r="W12" s="8">
        <f>36-0.17-2.73</f>
        <v>33.1</v>
      </c>
      <c r="X12" s="8">
        <v>6.9</v>
      </c>
      <c r="Y12" s="9">
        <f>P12+W12+X12</f>
        <v>40.27928411645227</v>
      </c>
      <c r="AA12" s="47">
        <f>0.0834*1806.1+40.52</f>
        <v>191.14874</v>
      </c>
      <c r="AB12" s="48" t="s">
        <v>48</v>
      </c>
      <c r="AC12" s="48"/>
    </row>
    <row r="13" spans="1:27" s="33" customFormat="1" ht="27.75" customHeight="1">
      <c r="A13" s="6">
        <f>1+A12</f>
        <v>2</v>
      </c>
      <c r="B13" s="38" t="s">
        <v>5</v>
      </c>
      <c r="C13" s="6">
        <v>3</v>
      </c>
      <c r="D13" s="7">
        <v>3543.28</v>
      </c>
      <c r="E13" s="7">
        <f>293.8+9.6</f>
        <v>303.40000000000003</v>
      </c>
      <c r="F13" s="7">
        <f>293.8+19.2+24+121.1</f>
        <v>458.1</v>
      </c>
      <c r="G13" s="15">
        <v>0.036</v>
      </c>
      <c r="H13" s="15">
        <v>0.036</v>
      </c>
      <c r="I13" s="15">
        <v>0.072</v>
      </c>
      <c r="J13" s="7">
        <f t="shared" si="0"/>
        <v>10.9224</v>
      </c>
      <c r="K13" s="7">
        <f t="shared" si="1"/>
        <v>10.9224</v>
      </c>
      <c r="L13" s="7">
        <f aca="true" t="shared" si="2" ref="L13:L35">E13*I13</f>
        <v>21.8448</v>
      </c>
      <c r="M13" s="7">
        <v>39.73</v>
      </c>
      <c r="N13" s="38">
        <v>164.21</v>
      </c>
      <c r="O13" s="7">
        <v>45.32</v>
      </c>
      <c r="P13" s="7">
        <f>L13*O13/D13</f>
        <v>0.2794039240477749</v>
      </c>
      <c r="Q13" s="55" t="s">
        <v>35</v>
      </c>
      <c r="R13" s="56"/>
      <c r="S13" s="56"/>
      <c r="T13" s="56"/>
      <c r="U13" s="56"/>
      <c r="V13" s="57"/>
      <c r="W13" s="8">
        <f aca="true" t="shared" si="3" ref="W13:W35">36-0.17-2.73</f>
        <v>33.1</v>
      </c>
      <c r="X13" s="8">
        <v>6.9</v>
      </c>
      <c r="Y13" s="9">
        <f aca="true" t="shared" si="4" ref="Y13:Y36">P13+W13+X13</f>
        <v>40.27940392404778</v>
      </c>
      <c r="AA13" s="42" t="s">
        <v>41</v>
      </c>
    </row>
    <row r="14" spans="1:27" s="33" customFormat="1" ht="27.75" customHeight="1">
      <c r="A14" s="6">
        <f aca="true" t="shared" si="5" ref="A14:A35">1+A13</f>
        <v>3</v>
      </c>
      <c r="B14" s="38" t="s">
        <v>6</v>
      </c>
      <c r="C14" s="6">
        <v>5</v>
      </c>
      <c r="D14" s="7">
        <v>1413</v>
      </c>
      <c r="E14" s="7">
        <f>46+150.8+6.2</f>
        <v>203</v>
      </c>
      <c r="F14" s="7">
        <f>46+150.8+12.4+6.7+291.1</f>
        <v>507</v>
      </c>
      <c r="G14" s="15">
        <v>0.036</v>
      </c>
      <c r="H14" s="15">
        <v>0.036</v>
      </c>
      <c r="I14" s="15">
        <v>0.072</v>
      </c>
      <c r="J14" s="7">
        <f t="shared" si="0"/>
        <v>7.308</v>
      </c>
      <c r="K14" s="7">
        <f t="shared" si="1"/>
        <v>7.308</v>
      </c>
      <c r="L14" s="7">
        <f t="shared" si="2"/>
        <v>14.616</v>
      </c>
      <c r="M14" s="7">
        <v>39.73</v>
      </c>
      <c r="N14" s="38">
        <v>164.21</v>
      </c>
      <c r="O14" s="7">
        <v>45.32</v>
      </c>
      <c r="P14" s="7">
        <v>0.48</v>
      </c>
      <c r="Q14" s="55" t="s">
        <v>35</v>
      </c>
      <c r="R14" s="56"/>
      <c r="S14" s="56"/>
      <c r="T14" s="56"/>
      <c r="U14" s="56"/>
      <c r="V14" s="57"/>
      <c r="W14" s="8">
        <f t="shared" si="3"/>
        <v>33.1</v>
      </c>
      <c r="X14" s="8">
        <v>6.9</v>
      </c>
      <c r="Y14" s="9">
        <f t="shared" si="4"/>
        <v>40.48</v>
      </c>
      <c r="Z14" s="33" t="s">
        <v>10</v>
      </c>
      <c r="AA14" s="49" t="s">
        <v>49</v>
      </c>
    </row>
    <row r="15" spans="1:27" s="33" customFormat="1" ht="27.75" customHeight="1">
      <c r="A15" s="6">
        <f t="shared" si="5"/>
        <v>4</v>
      </c>
      <c r="B15" s="38" t="s">
        <v>6</v>
      </c>
      <c r="C15" s="6">
        <v>7</v>
      </c>
      <c r="D15" s="7">
        <v>1415.8</v>
      </c>
      <c r="E15" s="7">
        <f>45.2+147.4+5.8</f>
        <v>198.40000000000003</v>
      </c>
      <c r="F15" s="7">
        <f>45.2+147.4+11.6+9.8+291.1</f>
        <v>505.1</v>
      </c>
      <c r="G15" s="15">
        <v>0.036</v>
      </c>
      <c r="H15" s="15">
        <v>0.036</v>
      </c>
      <c r="I15" s="15">
        <v>0.072</v>
      </c>
      <c r="J15" s="7">
        <f t="shared" si="0"/>
        <v>7.1424</v>
      </c>
      <c r="K15" s="7">
        <f t="shared" si="1"/>
        <v>7.1424</v>
      </c>
      <c r="L15" s="7">
        <f t="shared" si="2"/>
        <v>14.2848</v>
      </c>
      <c r="M15" s="7">
        <v>39.73</v>
      </c>
      <c r="N15" s="38">
        <v>164.21</v>
      </c>
      <c r="O15" s="7">
        <v>45.32</v>
      </c>
      <c r="P15" s="7">
        <v>0.47</v>
      </c>
      <c r="Q15" s="55" t="s">
        <v>35</v>
      </c>
      <c r="R15" s="56"/>
      <c r="S15" s="56"/>
      <c r="T15" s="56"/>
      <c r="U15" s="56"/>
      <c r="V15" s="57"/>
      <c r="W15" s="8">
        <f t="shared" si="3"/>
        <v>33.1</v>
      </c>
      <c r="X15" s="8">
        <v>6.9</v>
      </c>
      <c r="Y15" s="9">
        <f t="shared" si="4"/>
        <v>40.47</v>
      </c>
      <c r="AA15" s="49" t="s">
        <v>46</v>
      </c>
    </row>
    <row r="16" spans="1:29" s="33" customFormat="1" ht="27.75" customHeight="1">
      <c r="A16" s="6">
        <f t="shared" si="5"/>
        <v>5</v>
      </c>
      <c r="B16" s="38" t="s">
        <v>6</v>
      </c>
      <c r="C16" s="6">
        <v>9</v>
      </c>
      <c r="D16" s="7">
        <v>3550.1</v>
      </c>
      <c r="E16" s="7">
        <f>287.2+9.2</f>
        <v>296.4</v>
      </c>
      <c r="F16" s="7">
        <f>287.2+18.4+24+730.4</f>
        <v>1060</v>
      </c>
      <c r="G16" s="15">
        <v>0.036</v>
      </c>
      <c r="H16" s="15">
        <v>0.036</v>
      </c>
      <c r="I16" s="15">
        <v>0.072</v>
      </c>
      <c r="J16" s="7">
        <f t="shared" si="0"/>
        <v>10.670399999999999</v>
      </c>
      <c r="K16" s="7">
        <f t="shared" si="1"/>
        <v>10.670399999999999</v>
      </c>
      <c r="L16" s="7">
        <f t="shared" si="2"/>
        <v>21.340799999999998</v>
      </c>
      <c r="M16" s="7">
        <v>39.73</v>
      </c>
      <c r="N16" s="38">
        <v>164.21</v>
      </c>
      <c r="O16" s="7">
        <v>45.32</v>
      </c>
      <c r="P16" s="7">
        <v>0.28</v>
      </c>
      <c r="Q16" s="55" t="s">
        <v>35</v>
      </c>
      <c r="R16" s="56"/>
      <c r="S16" s="56"/>
      <c r="T16" s="56"/>
      <c r="U16" s="56"/>
      <c r="V16" s="57"/>
      <c r="W16" s="8">
        <f t="shared" si="3"/>
        <v>33.1</v>
      </c>
      <c r="X16" s="8">
        <v>6.9</v>
      </c>
      <c r="Y16" s="9">
        <f t="shared" si="4"/>
        <v>40.28</v>
      </c>
      <c r="AA16" s="49" t="s">
        <v>50</v>
      </c>
      <c r="AC16" s="46"/>
    </row>
    <row r="17" spans="1:27" s="33" customFormat="1" ht="27.75" customHeight="1">
      <c r="A17" s="6">
        <f t="shared" si="5"/>
        <v>6</v>
      </c>
      <c r="B17" s="38" t="s">
        <v>6</v>
      </c>
      <c r="C17" s="6">
        <v>11</v>
      </c>
      <c r="D17" s="7">
        <v>3495.3</v>
      </c>
      <c r="E17" s="7">
        <f>298+8.4</f>
        <v>306.4</v>
      </c>
      <c r="F17" s="7">
        <f>298+16.8+24+748.2</f>
        <v>1087</v>
      </c>
      <c r="G17" s="15">
        <v>0.036</v>
      </c>
      <c r="H17" s="15">
        <v>0.036</v>
      </c>
      <c r="I17" s="15">
        <v>0.072</v>
      </c>
      <c r="J17" s="7">
        <f t="shared" si="0"/>
        <v>11.030399999999998</v>
      </c>
      <c r="K17" s="7">
        <f t="shared" si="1"/>
        <v>11.030399999999998</v>
      </c>
      <c r="L17" s="7">
        <f t="shared" si="2"/>
        <v>22.060799999999997</v>
      </c>
      <c r="M17" s="7">
        <v>39.73</v>
      </c>
      <c r="N17" s="38">
        <v>164.21</v>
      </c>
      <c r="O17" s="7">
        <v>45.32</v>
      </c>
      <c r="P17" s="7">
        <v>0.29</v>
      </c>
      <c r="Q17" s="55" t="s">
        <v>35</v>
      </c>
      <c r="R17" s="56"/>
      <c r="S17" s="56"/>
      <c r="T17" s="56"/>
      <c r="U17" s="56"/>
      <c r="V17" s="57"/>
      <c r="W17" s="8">
        <f t="shared" si="3"/>
        <v>33.1</v>
      </c>
      <c r="X17" s="8">
        <v>6.9</v>
      </c>
      <c r="Y17" s="9">
        <f t="shared" si="4"/>
        <v>40.29</v>
      </c>
      <c r="AA17" s="50"/>
    </row>
    <row r="18" spans="1:25" s="33" customFormat="1" ht="27.75" customHeight="1">
      <c r="A18" s="6">
        <f t="shared" si="5"/>
        <v>7</v>
      </c>
      <c r="B18" s="38" t="s">
        <v>6</v>
      </c>
      <c r="C18" s="6">
        <v>13</v>
      </c>
      <c r="D18" s="7">
        <v>1787.5</v>
      </c>
      <c r="E18" s="7">
        <f>142+5.6</f>
        <v>147.6</v>
      </c>
      <c r="F18" s="7">
        <f>142+11.2+7.2+374</f>
        <v>534.4</v>
      </c>
      <c r="G18" s="15">
        <v>0.036</v>
      </c>
      <c r="H18" s="15">
        <v>0.036</v>
      </c>
      <c r="I18" s="15">
        <v>0.072</v>
      </c>
      <c r="J18" s="7">
        <f t="shared" si="0"/>
        <v>5.313599999999999</v>
      </c>
      <c r="K18" s="7">
        <f t="shared" si="1"/>
        <v>5.313599999999999</v>
      </c>
      <c r="L18" s="7">
        <f t="shared" si="2"/>
        <v>10.627199999999998</v>
      </c>
      <c r="M18" s="7">
        <v>39.73</v>
      </c>
      <c r="N18" s="38">
        <v>164.21</v>
      </c>
      <c r="O18" s="7">
        <v>45.32</v>
      </c>
      <c r="P18" s="7">
        <v>0.27</v>
      </c>
      <c r="Q18" s="55" t="s">
        <v>35</v>
      </c>
      <c r="R18" s="56"/>
      <c r="S18" s="56"/>
      <c r="T18" s="56"/>
      <c r="U18" s="56"/>
      <c r="V18" s="57"/>
      <c r="W18" s="8">
        <f t="shared" si="3"/>
        <v>33.1</v>
      </c>
      <c r="X18" s="8">
        <v>6.9</v>
      </c>
      <c r="Y18" s="9">
        <f t="shared" si="4"/>
        <v>40.27</v>
      </c>
    </row>
    <row r="19" spans="1:25" s="37" customFormat="1" ht="27.75" customHeight="1">
      <c r="A19" s="6">
        <f t="shared" si="5"/>
        <v>8</v>
      </c>
      <c r="B19" s="38" t="s">
        <v>6</v>
      </c>
      <c r="C19" s="6">
        <v>15</v>
      </c>
      <c r="D19" s="7">
        <v>1796.91</v>
      </c>
      <c r="E19" s="7">
        <f>142+5.4</f>
        <v>147.4</v>
      </c>
      <c r="F19" s="7">
        <f>142+10.8+7.2+374</f>
        <v>534</v>
      </c>
      <c r="G19" s="15">
        <v>0.036</v>
      </c>
      <c r="H19" s="15">
        <v>0.036</v>
      </c>
      <c r="I19" s="15">
        <v>0.072</v>
      </c>
      <c r="J19" s="7">
        <f t="shared" si="0"/>
        <v>5.3064</v>
      </c>
      <c r="K19" s="7">
        <f t="shared" si="1"/>
        <v>5.3064</v>
      </c>
      <c r="L19" s="7">
        <f t="shared" si="2"/>
        <v>10.6128</v>
      </c>
      <c r="M19" s="7">
        <v>39.73</v>
      </c>
      <c r="N19" s="38">
        <v>164.21</v>
      </c>
      <c r="O19" s="7">
        <v>45.32</v>
      </c>
      <c r="P19" s="7">
        <f>L19*O19/D19</f>
        <v>0.26766621366679466</v>
      </c>
      <c r="Q19" s="55" t="s">
        <v>35</v>
      </c>
      <c r="R19" s="56"/>
      <c r="S19" s="56"/>
      <c r="T19" s="56"/>
      <c r="U19" s="56"/>
      <c r="V19" s="57"/>
      <c r="W19" s="8">
        <f t="shared" si="3"/>
        <v>33.1</v>
      </c>
      <c r="X19" s="8">
        <v>6.9</v>
      </c>
      <c r="Y19" s="9">
        <f t="shared" si="4"/>
        <v>40.26766621366679</v>
      </c>
    </row>
    <row r="20" spans="1:25" s="33" customFormat="1" ht="27.75" customHeight="1">
      <c r="A20" s="6">
        <f t="shared" si="5"/>
        <v>9</v>
      </c>
      <c r="B20" s="38" t="s">
        <v>6</v>
      </c>
      <c r="C20" s="6">
        <v>17</v>
      </c>
      <c r="D20" s="7">
        <v>3544.2</v>
      </c>
      <c r="E20" s="7">
        <f>287.2+9.6</f>
        <v>296.8</v>
      </c>
      <c r="F20" s="7">
        <f>287.2+19.2+24+730.4</f>
        <v>1060.8</v>
      </c>
      <c r="G20" s="15">
        <v>0.036</v>
      </c>
      <c r="H20" s="15">
        <v>0.036</v>
      </c>
      <c r="I20" s="15">
        <v>0.072</v>
      </c>
      <c r="J20" s="7">
        <f t="shared" si="0"/>
        <v>10.6848</v>
      </c>
      <c r="K20" s="7">
        <f t="shared" si="1"/>
        <v>10.6848</v>
      </c>
      <c r="L20" s="7">
        <f t="shared" si="2"/>
        <v>21.3696</v>
      </c>
      <c r="M20" s="7">
        <v>39.73</v>
      </c>
      <c r="N20" s="38">
        <v>164.21</v>
      </c>
      <c r="O20" s="7">
        <v>45.32</v>
      </c>
      <c r="P20" s="7">
        <v>0.28</v>
      </c>
      <c r="Q20" s="55" t="s">
        <v>35</v>
      </c>
      <c r="R20" s="56"/>
      <c r="S20" s="56"/>
      <c r="T20" s="56"/>
      <c r="U20" s="56"/>
      <c r="V20" s="57"/>
      <c r="W20" s="8">
        <f t="shared" si="3"/>
        <v>33.1</v>
      </c>
      <c r="X20" s="8">
        <v>6.9</v>
      </c>
      <c r="Y20" s="9">
        <f t="shared" si="4"/>
        <v>40.28</v>
      </c>
    </row>
    <row r="21" spans="1:25" s="33" customFormat="1" ht="27.75" customHeight="1">
      <c r="A21" s="6">
        <f t="shared" si="5"/>
        <v>10</v>
      </c>
      <c r="B21" s="38" t="s">
        <v>6</v>
      </c>
      <c r="C21" s="6">
        <v>19</v>
      </c>
      <c r="D21" s="7">
        <v>3528.6</v>
      </c>
      <c r="E21" s="7">
        <f>279.5+9.6</f>
        <v>289.1</v>
      </c>
      <c r="F21" s="7">
        <f>279.5+19.2+24+743.1</f>
        <v>1065.8</v>
      </c>
      <c r="G21" s="15">
        <v>0.036</v>
      </c>
      <c r="H21" s="15">
        <v>0.036</v>
      </c>
      <c r="I21" s="15">
        <v>0.072</v>
      </c>
      <c r="J21" s="7">
        <f t="shared" si="0"/>
        <v>10.4076</v>
      </c>
      <c r="K21" s="7">
        <f t="shared" si="1"/>
        <v>10.4076</v>
      </c>
      <c r="L21" s="7">
        <f t="shared" si="2"/>
        <v>20.8152</v>
      </c>
      <c r="M21" s="7">
        <v>39.73</v>
      </c>
      <c r="N21" s="38">
        <v>164.21</v>
      </c>
      <c r="O21" s="7">
        <v>45.32</v>
      </c>
      <c r="P21" s="7">
        <f>L21*O21/D21</f>
        <v>0.26734253358272403</v>
      </c>
      <c r="Q21" s="55" t="s">
        <v>35</v>
      </c>
      <c r="R21" s="56"/>
      <c r="S21" s="56"/>
      <c r="T21" s="56"/>
      <c r="U21" s="56"/>
      <c r="V21" s="57"/>
      <c r="W21" s="8">
        <f t="shared" si="3"/>
        <v>33.1</v>
      </c>
      <c r="X21" s="8">
        <v>6.9</v>
      </c>
      <c r="Y21" s="9">
        <f t="shared" si="4"/>
        <v>40.26734253358273</v>
      </c>
    </row>
    <row r="22" spans="1:25" s="33" customFormat="1" ht="27.75" customHeight="1">
      <c r="A22" s="6">
        <f t="shared" si="5"/>
        <v>11</v>
      </c>
      <c r="B22" s="39" t="s">
        <v>7</v>
      </c>
      <c r="C22" s="6">
        <v>37</v>
      </c>
      <c r="D22" s="7">
        <v>1481.2</v>
      </c>
      <c r="E22" s="7">
        <f>129.4+3.6</f>
        <v>133</v>
      </c>
      <c r="F22" s="7">
        <f>129.4+3.6+7.6+319.2</f>
        <v>459.79999999999995</v>
      </c>
      <c r="G22" s="15">
        <v>0.036</v>
      </c>
      <c r="H22" s="15">
        <v>0.036</v>
      </c>
      <c r="I22" s="15">
        <v>0.072</v>
      </c>
      <c r="J22" s="7">
        <f t="shared" si="0"/>
        <v>4.787999999999999</v>
      </c>
      <c r="K22" s="7">
        <f t="shared" si="1"/>
        <v>4.787999999999999</v>
      </c>
      <c r="L22" s="7">
        <f t="shared" si="2"/>
        <v>9.575999999999999</v>
      </c>
      <c r="M22" s="7">
        <v>39.73</v>
      </c>
      <c r="N22" s="38">
        <v>164.21</v>
      </c>
      <c r="O22" s="7">
        <v>45.32</v>
      </c>
      <c r="P22" s="7">
        <v>0.3</v>
      </c>
      <c r="Q22" s="55" t="s">
        <v>35</v>
      </c>
      <c r="R22" s="56"/>
      <c r="S22" s="56"/>
      <c r="T22" s="56"/>
      <c r="U22" s="56"/>
      <c r="V22" s="57"/>
      <c r="W22" s="8">
        <f t="shared" si="3"/>
        <v>33.1</v>
      </c>
      <c r="X22" s="8">
        <v>6.9</v>
      </c>
      <c r="Y22" s="9">
        <f t="shared" si="4"/>
        <v>40.3</v>
      </c>
    </row>
    <row r="23" spans="1:25" s="33" customFormat="1" ht="27.75" customHeight="1">
      <c r="A23" s="6">
        <f t="shared" si="5"/>
        <v>12</v>
      </c>
      <c r="B23" s="39" t="s">
        <v>7</v>
      </c>
      <c r="C23" s="6">
        <v>39</v>
      </c>
      <c r="D23" s="7">
        <v>3670.2</v>
      </c>
      <c r="E23" s="7">
        <f>314.5+7.5</f>
        <v>322</v>
      </c>
      <c r="F23" s="7">
        <f>314.5+7.5+42.3+798</f>
        <v>1162.3</v>
      </c>
      <c r="G23" s="15">
        <v>0.036</v>
      </c>
      <c r="H23" s="15">
        <v>0.036</v>
      </c>
      <c r="I23" s="15">
        <v>0.072</v>
      </c>
      <c r="J23" s="7">
        <f t="shared" si="0"/>
        <v>11.591999999999999</v>
      </c>
      <c r="K23" s="7">
        <f t="shared" si="1"/>
        <v>11.591999999999999</v>
      </c>
      <c r="L23" s="7">
        <f t="shared" si="2"/>
        <v>23.183999999999997</v>
      </c>
      <c r="M23" s="7">
        <v>39.73</v>
      </c>
      <c r="N23" s="38">
        <v>164.21</v>
      </c>
      <c r="O23" s="7">
        <v>45.32</v>
      </c>
      <c r="P23" s="7">
        <v>0.29</v>
      </c>
      <c r="Q23" s="55" t="s">
        <v>35</v>
      </c>
      <c r="R23" s="56"/>
      <c r="S23" s="56"/>
      <c r="T23" s="56"/>
      <c r="U23" s="56"/>
      <c r="V23" s="57"/>
      <c r="W23" s="8">
        <f t="shared" si="3"/>
        <v>33.1</v>
      </c>
      <c r="X23" s="8">
        <v>6.9</v>
      </c>
      <c r="Y23" s="9">
        <f t="shared" si="4"/>
        <v>40.29</v>
      </c>
    </row>
    <row r="24" spans="1:25" s="33" customFormat="1" ht="27.75" customHeight="1">
      <c r="A24" s="6">
        <f t="shared" si="5"/>
        <v>13</v>
      </c>
      <c r="B24" s="39" t="s">
        <v>7</v>
      </c>
      <c r="C24" s="6">
        <v>41</v>
      </c>
      <c r="D24" s="7">
        <v>3662.86</v>
      </c>
      <c r="E24" s="7">
        <f>328.5+15</f>
        <v>343.5</v>
      </c>
      <c r="F24" s="7">
        <f>328.5+15+41.9+810.1</f>
        <v>1195.5</v>
      </c>
      <c r="G24" s="15">
        <v>0.036</v>
      </c>
      <c r="H24" s="15">
        <v>0.036</v>
      </c>
      <c r="I24" s="15">
        <v>0.072</v>
      </c>
      <c r="J24" s="7">
        <f t="shared" si="0"/>
        <v>12.366</v>
      </c>
      <c r="K24" s="7">
        <f t="shared" si="1"/>
        <v>12.366</v>
      </c>
      <c r="L24" s="7">
        <f t="shared" si="2"/>
        <v>24.732</v>
      </c>
      <c r="M24" s="7">
        <v>39.73</v>
      </c>
      <c r="N24" s="38">
        <v>164.21</v>
      </c>
      <c r="O24" s="7">
        <v>45.32</v>
      </c>
      <c r="P24" s="7">
        <f>L24*O24/D24</f>
        <v>0.3060052090442987</v>
      </c>
      <c r="Q24" s="55" t="s">
        <v>35</v>
      </c>
      <c r="R24" s="56"/>
      <c r="S24" s="56"/>
      <c r="T24" s="56"/>
      <c r="U24" s="56"/>
      <c r="V24" s="57"/>
      <c r="W24" s="8">
        <f t="shared" si="3"/>
        <v>33.1</v>
      </c>
      <c r="X24" s="8">
        <v>6.9</v>
      </c>
      <c r="Y24" s="9">
        <f t="shared" si="4"/>
        <v>40.3060052090443</v>
      </c>
    </row>
    <row r="25" spans="1:25" s="33" customFormat="1" ht="27.75" customHeight="1">
      <c r="A25" s="6">
        <f t="shared" si="5"/>
        <v>14</v>
      </c>
      <c r="B25" s="39" t="s">
        <v>7</v>
      </c>
      <c r="C25" s="6">
        <v>47</v>
      </c>
      <c r="D25" s="7">
        <v>1463.8</v>
      </c>
      <c r="E25" s="7">
        <f>132.8+6</f>
        <v>138.8</v>
      </c>
      <c r="F25" s="7">
        <f>132.8+6+16.8+322.6</f>
        <v>478.20000000000005</v>
      </c>
      <c r="G25" s="15">
        <v>0.036</v>
      </c>
      <c r="H25" s="15">
        <v>0.036</v>
      </c>
      <c r="I25" s="15">
        <v>0.072</v>
      </c>
      <c r="J25" s="7">
        <f t="shared" si="0"/>
        <v>4.9968</v>
      </c>
      <c r="K25" s="7">
        <f t="shared" si="1"/>
        <v>4.9968</v>
      </c>
      <c r="L25" s="7">
        <f t="shared" si="2"/>
        <v>9.9936</v>
      </c>
      <c r="M25" s="7">
        <v>39.73</v>
      </c>
      <c r="N25" s="38">
        <v>164.21</v>
      </c>
      <c r="O25" s="7">
        <v>45.32</v>
      </c>
      <c r="P25" s="7">
        <v>0.32</v>
      </c>
      <c r="Q25" s="55" t="s">
        <v>35</v>
      </c>
      <c r="R25" s="56"/>
      <c r="S25" s="56"/>
      <c r="T25" s="56"/>
      <c r="U25" s="56"/>
      <c r="V25" s="57"/>
      <c r="W25" s="8">
        <f t="shared" si="3"/>
        <v>33.1</v>
      </c>
      <c r="X25" s="8">
        <v>6.9</v>
      </c>
      <c r="Y25" s="9">
        <f t="shared" si="4"/>
        <v>40.32</v>
      </c>
    </row>
    <row r="26" spans="1:25" s="33" customFormat="1" ht="27.75" customHeight="1">
      <c r="A26" s="6">
        <f t="shared" si="5"/>
        <v>15</v>
      </c>
      <c r="B26" s="39" t="s">
        <v>7</v>
      </c>
      <c r="C26" s="6">
        <v>49</v>
      </c>
      <c r="D26" s="7">
        <v>3799.83</v>
      </c>
      <c r="E26" s="7">
        <f>314.5+7.5</f>
        <v>322</v>
      </c>
      <c r="F26" s="7">
        <f>314.5+7.5+42.3+798</f>
        <v>1162.3</v>
      </c>
      <c r="G26" s="15">
        <v>0.036</v>
      </c>
      <c r="H26" s="15">
        <v>0.036</v>
      </c>
      <c r="I26" s="15">
        <v>0.072</v>
      </c>
      <c r="J26" s="7">
        <f t="shared" si="0"/>
        <v>11.591999999999999</v>
      </c>
      <c r="K26" s="7">
        <f t="shared" si="1"/>
        <v>11.591999999999999</v>
      </c>
      <c r="L26" s="7">
        <f t="shared" si="2"/>
        <v>23.183999999999997</v>
      </c>
      <c r="M26" s="7">
        <v>39.73</v>
      </c>
      <c r="N26" s="38">
        <v>164.21</v>
      </c>
      <c r="O26" s="7">
        <v>45.32</v>
      </c>
      <c r="P26" s="7">
        <f>L26*O26/D26</f>
        <v>0.2765120755402215</v>
      </c>
      <c r="Q26" s="55" t="s">
        <v>35</v>
      </c>
      <c r="R26" s="56"/>
      <c r="S26" s="56"/>
      <c r="T26" s="56"/>
      <c r="U26" s="56"/>
      <c r="V26" s="57"/>
      <c r="W26" s="8">
        <f t="shared" si="3"/>
        <v>33.1</v>
      </c>
      <c r="X26" s="8">
        <v>6.9</v>
      </c>
      <c r="Y26" s="9">
        <f t="shared" si="4"/>
        <v>40.27651207554022</v>
      </c>
    </row>
    <row r="27" spans="1:25" s="33" customFormat="1" ht="27.75" customHeight="1">
      <c r="A27" s="6">
        <f t="shared" si="5"/>
        <v>16</v>
      </c>
      <c r="B27" s="39" t="s">
        <v>7</v>
      </c>
      <c r="C27" s="6">
        <v>51</v>
      </c>
      <c r="D27" s="7">
        <v>1461.6</v>
      </c>
      <c r="E27" s="7">
        <f>134+6</f>
        <v>140</v>
      </c>
      <c r="F27" s="7">
        <f>134+6+16.9+332.6</f>
        <v>489.5</v>
      </c>
      <c r="G27" s="15">
        <v>0.036</v>
      </c>
      <c r="H27" s="15">
        <v>0.036</v>
      </c>
      <c r="I27" s="15">
        <v>0.072</v>
      </c>
      <c r="J27" s="7">
        <f t="shared" si="0"/>
        <v>5.04</v>
      </c>
      <c r="K27" s="7">
        <f t="shared" si="1"/>
        <v>5.04</v>
      </c>
      <c r="L27" s="7">
        <f t="shared" si="2"/>
        <v>10.08</v>
      </c>
      <c r="M27" s="7">
        <v>39.73</v>
      </c>
      <c r="N27" s="38">
        <v>164.21</v>
      </c>
      <c r="O27" s="7">
        <v>45.32</v>
      </c>
      <c r="P27" s="7">
        <v>0.32</v>
      </c>
      <c r="Q27" s="55" t="s">
        <v>35</v>
      </c>
      <c r="R27" s="56"/>
      <c r="S27" s="56"/>
      <c r="T27" s="56"/>
      <c r="U27" s="56"/>
      <c r="V27" s="57"/>
      <c r="W27" s="8">
        <f t="shared" si="3"/>
        <v>33.1</v>
      </c>
      <c r="X27" s="8">
        <f>4.56+6.9</f>
        <v>11.46</v>
      </c>
      <c r="Y27" s="9">
        <f t="shared" si="4"/>
        <v>44.88</v>
      </c>
    </row>
    <row r="28" spans="1:25" s="33" customFormat="1" ht="27.75" customHeight="1">
      <c r="A28" s="6">
        <f t="shared" si="5"/>
        <v>17</v>
      </c>
      <c r="B28" s="39" t="s">
        <v>7</v>
      </c>
      <c r="C28" s="6">
        <v>53</v>
      </c>
      <c r="D28" s="7">
        <v>3797.5</v>
      </c>
      <c r="E28" s="7">
        <f>326+17</f>
        <v>343</v>
      </c>
      <c r="F28" s="7">
        <f>326+17+42.25+806.5</f>
        <v>1191.75</v>
      </c>
      <c r="G28" s="15">
        <v>0.036</v>
      </c>
      <c r="H28" s="15">
        <v>0.036</v>
      </c>
      <c r="I28" s="15">
        <v>0.072</v>
      </c>
      <c r="J28" s="7">
        <f t="shared" si="0"/>
        <v>12.347999999999999</v>
      </c>
      <c r="K28" s="7">
        <f t="shared" si="1"/>
        <v>12.347999999999999</v>
      </c>
      <c r="L28" s="7">
        <f t="shared" si="2"/>
        <v>24.695999999999998</v>
      </c>
      <c r="M28" s="7">
        <v>39.73</v>
      </c>
      <c r="N28" s="38">
        <v>164.21</v>
      </c>
      <c r="O28" s="7">
        <v>45.32</v>
      </c>
      <c r="P28" s="7">
        <v>0.3</v>
      </c>
      <c r="Q28" s="55" t="s">
        <v>35</v>
      </c>
      <c r="R28" s="56"/>
      <c r="S28" s="56"/>
      <c r="T28" s="56"/>
      <c r="U28" s="56"/>
      <c r="V28" s="57"/>
      <c r="W28" s="8">
        <f t="shared" si="3"/>
        <v>33.1</v>
      </c>
      <c r="X28" s="8">
        <v>6.9</v>
      </c>
      <c r="Y28" s="9">
        <f t="shared" si="4"/>
        <v>40.3</v>
      </c>
    </row>
    <row r="29" spans="1:25" s="33" customFormat="1" ht="27.75" customHeight="1">
      <c r="A29" s="6">
        <f t="shared" si="5"/>
        <v>18</v>
      </c>
      <c r="B29" s="38" t="s">
        <v>8</v>
      </c>
      <c r="C29" s="6">
        <v>55</v>
      </c>
      <c r="D29" s="7">
        <v>3678.8</v>
      </c>
      <c r="E29" s="7">
        <f>307.5+8</f>
        <v>315.5</v>
      </c>
      <c r="F29" s="7">
        <f>307.5+8+43.5+798</f>
        <v>1157</v>
      </c>
      <c r="G29" s="15">
        <v>0.036</v>
      </c>
      <c r="H29" s="15">
        <v>0.036</v>
      </c>
      <c r="I29" s="15">
        <v>0.072</v>
      </c>
      <c r="J29" s="7">
        <f t="shared" si="0"/>
        <v>11.357999999999999</v>
      </c>
      <c r="K29" s="7">
        <f t="shared" si="1"/>
        <v>11.357999999999999</v>
      </c>
      <c r="L29" s="7">
        <f t="shared" si="2"/>
        <v>22.715999999999998</v>
      </c>
      <c r="M29" s="7">
        <v>39.73</v>
      </c>
      <c r="N29" s="38">
        <v>164.21</v>
      </c>
      <c r="O29" s="7">
        <v>45.32</v>
      </c>
      <c r="P29" s="7">
        <v>0.29</v>
      </c>
      <c r="Q29" s="55" t="s">
        <v>35</v>
      </c>
      <c r="R29" s="56"/>
      <c r="S29" s="56"/>
      <c r="T29" s="56"/>
      <c r="U29" s="56"/>
      <c r="V29" s="57"/>
      <c r="W29" s="8">
        <f t="shared" si="3"/>
        <v>33.1</v>
      </c>
      <c r="X29" s="8">
        <v>6.9</v>
      </c>
      <c r="Y29" s="9">
        <f t="shared" si="4"/>
        <v>40.29</v>
      </c>
    </row>
    <row r="30" spans="1:25" s="33" customFormat="1" ht="27.75" customHeight="1">
      <c r="A30" s="6">
        <f t="shared" si="5"/>
        <v>19</v>
      </c>
      <c r="B30" s="38" t="s">
        <v>7</v>
      </c>
      <c r="C30" s="6">
        <v>57</v>
      </c>
      <c r="D30" s="7">
        <v>3679.5</v>
      </c>
      <c r="E30" s="7">
        <f>326+17</f>
        <v>343</v>
      </c>
      <c r="F30" s="7">
        <f>326+17+42.25+806.5</f>
        <v>1191.75</v>
      </c>
      <c r="G30" s="15">
        <v>0.036</v>
      </c>
      <c r="H30" s="15">
        <v>0.036</v>
      </c>
      <c r="I30" s="15">
        <v>0.072</v>
      </c>
      <c r="J30" s="7">
        <f t="shared" si="0"/>
        <v>12.347999999999999</v>
      </c>
      <c r="K30" s="7">
        <f t="shared" si="1"/>
        <v>12.347999999999999</v>
      </c>
      <c r="L30" s="7">
        <f t="shared" si="2"/>
        <v>24.695999999999998</v>
      </c>
      <c r="M30" s="7">
        <v>39.73</v>
      </c>
      <c r="N30" s="38">
        <v>164.21</v>
      </c>
      <c r="O30" s="7">
        <v>45.32</v>
      </c>
      <c r="P30" s="7">
        <v>0.31</v>
      </c>
      <c r="Q30" s="55" t="s">
        <v>35</v>
      </c>
      <c r="R30" s="56"/>
      <c r="S30" s="56"/>
      <c r="T30" s="56"/>
      <c r="U30" s="56"/>
      <c r="V30" s="57"/>
      <c r="W30" s="8">
        <f t="shared" si="3"/>
        <v>33.1</v>
      </c>
      <c r="X30" s="8">
        <v>6.9</v>
      </c>
      <c r="Y30" s="9">
        <f t="shared" si="4"/>
        <v>40.31</v>
      </c>
    </row>
    <row r="31" spans="1:25" s="33" customFormat="1" ht="27.75" customHeight="1">
      <c r="A31" s="6">
        <f t="shared" si="5"/>
        <v>20</v>
      </c>
      <c r="B31" s="38" t="s">
        <v>7</v>
      </c>
      <c r="C31" s="6">
        <v>59</v>
      </c>
      <c r="D31" s="7">
        <v>1794.2</v>
      </c>
      <c r="E31" s="7">
        <f>142+5.6</f>
        <v>147.6</v>
      </c>
      <c r="F31" s="7">
        <f>142+5.6+9.8+375.3</f>
        <v>532.7</v>
      </c>
      <c r="G31" s="15">
        <v>0.036</v>
      </c>
      <c r="H31" s="15">
        <v>0.036</v>
      </c>
      <c r="I31" s="15">
        <v>0.072</v>
      </c>
      <c r="J31" s="7">
        <f t="shared" si="0"/>
        <v>5.313599999999999</v>
      </c>
      <c r="K31" s="7">
        <f t="shared" si="1"/>
        <v>5.313599999999999</v>
      </c>
      <c r="L31" s="7">
        <f t="shared" si="2"/>
        <v>10.627199999999998</v>
      </c>
      <c r="M31" s="7">
        <v>39.73</v>
      </c>
      <c r="N31" s="38">
        <v>164.21</v>
      </c>
      <c r="O31" s="7">
        <v>45.32</v>
      </c>
      <c r="P31" s="7">
        <f>L31*O31/D31</f>
        <v>0.26843423475643735</v>
      </c>
      <c r="Q31" s="55" t="s">
        <v>35</v>
      </c>
      <c r="R31" s="56"/>
      <c r="S31" s="56"/>
      <c r="T31" s="56"/>
      <c r="U31" s="56"/>
      <c r="V31" s="57"/>
      <c r="W31" s="8">
        <f t="shared" si="3"/>
        <v>33.1</v>
      </c>
      <c r="X31" s="8">
        <v>6.9</v>
      </c>
      <c r="Y31" s="9">
        <f t="shared" si="4"/>
        <v>40.268434234756434</v>
      </c>
    </row>
    <row r="32" spans="1:25" s="33" customFormat="1" ht="27.75" customHeight="1">
      <c r="A32" s="6">
        <f t="shared" si="5"/>
        <v>21</v>
      </c>
      <c r="B32" s="38" t="s">
        <v>7</v>
      </c>
      <c r="C32" s="6">
        <v>61</v>
      </c>
      <c r="D32" s="7">
        <v>2676.1</v>
      </c>
      <c r="E32" s="7">
        <f>214.2+3.6</f>
        <v>217.79999999999998</v>
      </c>
      <c r="F32" s="7">
        <f>214.2+3.6+13.5+560.1</f>
        <v>791.4</v>
      </c>
      <c r="G32" s="15">
        <v>0.036</v>
      </c>
      <c r="H32" s="15">
        <v>0.036</v>
      </c>
      <c r="I32" s="15">
        <v>0.072</v>
      </c>
      <c r="J32" s="7">
        <f t="shared" si="0"/>
        <v>7.840799999999999</v>
      </c>
      <c r="K32" s="7">
        <f t="shared" si="1"/>
        <v>7.840799999999999</v>
      </c>
      <c r="L32" s="7">
        <f t="shared" si="2"/>
        <v>15.681599999999998</v>
      </c>
      <c r="M32" s="7">
        <v>39.73</v>
      </c>
      <c r="N32" s="38">
        <v>164.21</v>
      </c>
      <c r="O32" s="7">
        <v>45.32</v>
      </c>
      <c r="P32" s="7">
        <f>L32*O32/D32</f>
        <v>0.26556934045812935</v>
      </c>
      <c r="Q32" s="55" t="s">
        <v>35</v>
      </c>
      <c r="R32" s="56"/>
      <c r="S32" s="56"/>
      <c r="T32" s="56"/>
      <c r="U32" s="56"/>
      <c r="V32" s="57"/>
      <c r="W32" s="8">
        <f t="shared" si="3"/>
        <v>33.1</v>
      </c>
      <c r="X32" s="8">
        <v>6.9</v>
      </c>
      <c r="Y32" s="9">
        <f t="shared" si="4"/>
        <v>40.26556934045813</v>
      </c>
    </row>
    <row r="33" spans="1:25" s="33" customFormat="1" ht="27.75" customHeight="1">
      <c r="A33" s="6">
        <f t="shared" si="5"/>
        <v>22</v>
      </c>
      <c r="B33" s="38" t="s">
        <v>7</v>
      </c>
      <c r="C33" s="6">
        <v>63</v>
      </c>
      <c r="D33" s="7">
        <v>2651.2</v>
      </c>
      <c r="E33" s="7">
        <f>216.3+3.3</f>
        <v>219.60000000000002</v>
      </c>
      <c r="F33" s="7">
        <f>216.3+3.3+13.5+573.2</f>
        <v>806.3000000000001</v>
      </c>
      <c r="G33" s="15">
        <v>0.036</v>
      </c>
      <c r="H33" s="15">
        <v>0.036</v>
      </c>
      <c r="I33" s="15">
        <v>0.072</v>
      </c>
      <c r="J33" s="7">
        <f t="shared" si="0"/>
        <v>7.905600000000001</v>
      </c>
      <c r="K33" s="7">
        <f t="shared" si="1"/>
        <v>7.905600000000001</v>
      </c>
      <c r="L33" s="7">
        <f t="shared" si="2"/>
        <v>15.811200000000001</v>
      </c>
      <c r="M33" s="7">
        <v>39.73</v>
      </c>
      <c r="N33" s="38">
        <v>164.21</v>
      </c>
      <c r="O33" s="7">
        <v>45.32</v>
      </c>
      <c r="P33" s="7">
        <v>0.28</v>
      </c>
      <c r="Q33" s="55" t="s">
        <v>35</v>
      </c>
      <c r="R33" s="56"/>
      <c r="S33" s="56"/>
      <c r="T33" s="56"/>
      <c r="U33" s="56"/>
      <c r="V33" s="57"/>
      <c r="W33" s="8">
        <f t="shared" si="3"/>
        <v>33.1</v>
      </c>
      <c r="X33" s="8">
        <v>6.9</v>
      </c>
      <c r="Y33" s="9">
        <f t="shared" si="4"/>
        <v>40.28</v>
      </c>
    </row>
    <row r="34" spans="1:25" s="33" customFormat="1" ht="27.75" customHeight="1">
      <c r="A34" s="6">
        <f t="shared" si="5"/>
        <v>23</v>
      </c>
      <c r="B34" s="38" t="s">
        <v>7</v>
      </c>
      <c r="C34" s="6">
        <v>65</v>
      </c>
      <c r="D34" s="7">
        <v>2655.3</v>
      </c>
      <c r="E34" s="7">
        <f>216.3+3.3</f>
        <v>219.60000000000002</v>
      </c>
      <c r="F34" s="7">
        <f>216.3+3.3+13.5+514.6</f>
        <v>747.7</v>
      </c>
      <c r="G34" s="15">
        <v>0.036</v>
      </c>
      <c r="H34" s="15">
        <v>0.036</v>
      </c>
      <c r="I34" s="15">
        <v>0.072</v>
      </c>
      <c r="J34" s="7">
        <f t="shared" si="0"/>
        <v>7.905600000000001</v>
      </c>
      <c r="K34" s="7">
        <f t="shared" si="1"/>
        <v>7.905600000000001</v>
      </c>
      <c r="L34" s="7">
        <f t="shared" si="2"/>
        <v>15.811200000000001</v>
      </c>
      <c r="M34" s="7">
        <v>39.73</v>
      </c>
      <c r="N34" s="38">
        <v>164.21</v>
      </c>
      <c r="O34" s="7">
        <v>45.32</v>
      </c>
      <c r="P34" s="7">
        <v>0.28</v>
      </c>
      <c r="Q34" s="55" t="s">
        <v>35</v>
      </c>
      <c r="R34" s="56"/>
      <c r="S34" s="56"/>
      <c r="T34" s="56"/>
      <c r="U34" s="56"/>
      <c r="V34" s="57"/>
      <c r="W34" s="8">
        <f t="shared" si="3"/>
        <v>33.1</v>
      </c>
      <c r="X34" s="8">
        <v>6.9</v>
      </c>
      <c r="Y34" s="9">
        <f t="shared" si="4"/>
        <v>40.28</v>
      </c>
    </row>
    <row r="35" spans="1:25" s="33" customFormat="1" ht="27.75" customHeight="1">
      <c r="A35" s="6">
        <f t="shared" si="5"/>
        <v>24</v>
      </c>
      <c r="B35" s="38" t="s">
        <v>7</v>
      </c>
      <c r="C35" s="6">
        <v>67</v>
      </c>
      <c r="D35" s="7">
        <v>1789.2</v>
      </c>
      <c r="E35" s="7">
        <f>142+5.6</f>
        <v>147.6</v>
      </c>
      <c r="F35" s="7">
        <f>142+5.6+10.2+375.3</f>
        <v>533.1</v>
      </c>
      <c r="G35" s="15">
        <v>0.036</v>
      </c>
      <c r="H35" s="15">
        <v>0.036</v>
      </c>
      <c r="I35" s="15">
        <v>0.072</v>
      </c>
      <c r="J35" s="7">
        <f t="shared" si="0"/>
        <v>5.313599999999999</v>
      </c>
      <c r="K35" s="7">
        <f t="shared" si="1"/>
        <v>5.313599999999999</v>
      </c>
      <c r="L35" s="7">
        <f t="shared" si="2"/>
        <v>10.627199999999998</v>
      </c>
      <c r="M35" s="7">
        <v>39.73</v>
      </c>
      <c r="N35" s="38">
        <v>164.21</v>
      </c>
      <c r="O35" s="7">
        <v>45.32</v>
      </c>
      <c r="P35" s="7">
        <f>L35*O35/D35</f>
        <v>0.2691843863179074</v>
      </c>
      <c r="Q35" s="55" t="s">
        <v>35</v>
      </c>
      <c r="R35" s="56"/>
      <c r="S35" s="56"/>
      <c r="T35" s="56"/>
      <c r="U35" s="56"/>
      <c r="V35" s="57"/>
      <c r="W35" s="8">
        <f t="shared" si="3"/>
        <v>33.1</v>
      </c>
      <c r="X35" s="8">
        <v>6.9</v>
      </c>
      <c r="Y35" s="9">
        <f t="shared" si="4"/>
        <v>40.26918438631791</v>
      </c>
    </row>
    <row r="36" spans="1:25" s="2" customFormat="1" ht="19.5" customHeight="1" hidden="1">
      <c r="A36" s="10"/>
      <c r="B36" s="11" t="s">
        <v>0</v>
      </c>
      <c r="C36" s="10"/>
      <c r="D36" s="12">
        <f>SUM(D12:D35)</f>
        <v>65880.78</v>
      </c>
      <c r="E36" s="12">
        <f>SUM(E12:E35)</f>
        <v>5844.900000000002</v>
      </c>
      <c r="F36" s="12">
        <f>SUM(F12:F35)</f>
        <v>19169.6</v>
      </c>
      <c r="G36" s="13"/>
      <c r="H36" s="13"/>
      <c r="I36" s="13"/>
      <c r="J36" s="12"/>
      <c r="K36" s="12"/>
      <c r="L36" s="12"/>
      <c r="M36" s="12"/>
      <c r="N36" s="7"/>
      <c r="O36" s="12"/>
      <c r="P36" s="12"/>
      <c r="Q36" s="12"/>
      <c r="R36" s="12"/>
      <c r="S36" s="12"/>
      <c r="T36" s="12"/>
      <c r="U36" s="12">
        <f>SUM(U12:U35)</f>
        <v>0</v>
      </c>
      <c r="V36" s="12"/>
      <c r="W36" s="9"/>
      <c r="X36" s="8"/>
      <c r="Y36" s="9">
        <f t="shared" si="4"/>
        <v>0</v>
      </c>
    </row>
    <row r="37" spans="1:25" s="2" customFormat="1" ht="15" customHeight="1">
      <c r="A37" s="59" t="s">
        <v>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1"/>
    </row>
    <row r="38" spans="1:25" s="33" customFormat="1" ht="27.75" customHeight="1">
      <c r="A38" s="6">
        <v>25</v>
      </c>
      <c r="B38" s="38" t="s">
        <v>6</v>
      </c>
      <c r="C38" s="6">
        <v>21</v>
      </c>
      <c r="D38" s="7">
        <v>5861.6</v>
      </c>
      <c r="E38" s="7">
        <f>53.7+456.8+33.6+9.6</f>
        <v>553.7</v>
      </c>
      <c r="F38" s="7">
        <f>778+53.7+456.8+33.6+19.2+43.2+715.5+3+40.96+9.5</f>
        <v>2153.46</v>
      </c>
      <c r="G38" s="15">
        <v>0.024</v>
      </c>
      <c r="H38" s="15">
        <v>0.024</v>
      </c>
      <c r="I38" s="15">
        <v>0.048</v>
      </c>
      <c r="J38" s="7">
        <f>E38*G38</f>
        <v>13.288800000000002</v>
      </c>
      <c r="K38" s="7">
        <f>E38*H38</f>
        <v>13.288800000000002</v>
      </c>
      <c r="L38" s="7">
        <f>E38*I38</f>
        <v>26.577600000000004</v>
      </c>
      <c r="M38" s="7">
        <v>39.73</v>
      </c>
      <c r="N38" s="38">
        <v>164.21</v>
      </c>
      <c r="O38" s="7">
        <v>45.32</v>
      </c>
      <c r="P38" s="7">
        <f>L38*O38/D38</f>
        <v>0.20548942814248672</v>
      </c>
      <c r="Q38" s="55" t="s">
        <v>35</v>
      </c>
      <c r="R38" s="56"/>
      <c r="S38" s="56"/>
      <c r="T38" s="56"/>
      <c r="U38" s="56"/>
      <c r="V38" s="57"/>
      <c r="W38" s="8">
        <f>45-0.17-2.73</f>
        <v>42.1</v>
      </c>
      <c r="X38" s="8">
        <v>6.9</v>
      </c>
      <c r="Y38" s="9">
        <f>P38+W38+X38</f>
        <v>49.205489428142485</v>
      </c>
    </row>
    <row r="39" spans="1:25" s="33" customFormat="1" ht="27.75" customHeight="1">
      <c r="A39" s="6">
        <v>26</v>
      </c>
      <c r="B39" s="38" t="s">
        <v>7</v>
      </c>
      <c r="C39" s="6">
        <v>35</v>
      </c>
      <c r="D39" s="7">
        <v>5820.04</v>
      </c>
      <c r="E39" s="7">
        <f>51.6+378.3+52.8+9.6</f>
        <v>492.30000000000007</v>
      </c>
      <c r="F39" s="7">
        <f>778+51.6+378.3+52.8+9.6+33.1+705.5+3+40.85+9.5</f>
        <v>2062.25</v>
      </c>
      <c r="G39" s="15">
        <v>0.024</v>
      </c>
      <c r="H39" s="15">
        <v>0.024</v>
      </c>
      <c r="I39" s="15">
        <v>0.048</v>
      </c>
      <c r="J39" s="7">
        <f>E39*G39</f>
        <v>11.815200000000003</v>
      </c>
      <c r="K39" s="7">
        <f>E39*H39</f>
        <v>11.815200000000003</v>
      </c>
      <c r="L39" s="7">
        <f>E39*I39</f>
        <v>23.630400000000005</v>
      </c>
      <c r="M39" s="7">
        <v>39.73</v>
      </c>
      <c r="N39" s="38">
        <v>164.21</v>
      </c>
      <c r="O39" s="7">
        <v>45.32</v>
      </c>
      <c r="P39" s="7">
        <v>0.19</v>
      </c>
      <c r="Q39" s="55" t="s">
        <v>35</v>
      </c>
      <c r="R39" s="56"/>
      <c r="S39" s="56"/>
      <c r="T39" s="56"/>
      <c r="U39" s="56"/>
      <c r="V39" s="57"/>
      <c r="W39" s="8">
        <f>45-0.17-2.73</f>
        <v>42.1</v>
      </c>
      <c r="X39" s="8">
        <v>6.9</v>
      </c>
      <c r="Y39" s="9">
        <f>P39+W39+X39</f>
        <v>49.19</v>
      </c>
    </row>
    <row r="40" spans="1:25" s="2" customFormat="1" ht="15" customHeight="1" hidden="1">
      <c r="A40" s="24"/>
      <c r="B40" s="25" t="s">
        <v>0</v>
      </c>
      <c r="C40" s="25"/>
      <c r="D40" s="26">
        <f>SUM(D38:D39)</f>
        <v>11681.64</v>
      </c>
      <c r="E40" s="26">
        <f>E38+E39</f>
        <v>1046</v>
      </c>
      <c r="F40" s="26">
        <f>SUM(F38:F39)</f>
        <v>4215.71</v>
      </c>
      <c r="G40" s="26"/>
      <c r="H40" s="26"/>
      <c r="I40" s="26"/>
      <c r="J40" s="26"/>
      <c r="K40" s="27"/>
      <c r="L40" s="26"/>
      <c r="M40" s="27"/>
      <c r="N40" s="35"/>
      <c r="O40" s="27"/>
      <c r="P40" s="27"/>
      <c r="Q40" s="26"/>
      <c r="R40" s="27"/>
      <c r="S40" s="26"/>
      <c r="T40" s="26"/>
      <c r="U40" s="26">
        <f>SUM(U38:U39)</f>
        <v>0</v>
      </c>
      <c r="V40" s="26"/>
      <c r="W40" s="31"/>
      <c r="X40" s="5"/>
      <c r="Y40" s="5"/>
    </row>
    <row r="41" spans="1:25" s="2" customFormat="1" ht="21" customHeight="1">
      <c r="A41" s="10"/>
      <c r="B41" s="11" t="s">
        <v>1</v>
      </c>
      <c r="C41" s="11"/>
      <c r="D41" s="12">
        <f>D36+D40</f>
        <v>77562.42</v>
      </c>
      <c r="E41" s="12"/>
      <c r="F41" s="12"/>
      <c r="G41" s="12"/>
      <c r="H41" s="12"/>
      <c r="I41" s="12"/>
      <c r="J41" s="12"/>
      <c r="K41" s="13"/>
      <c r="L41" s="12"/>
      <c r="M41" s="13"/>
      <c r="N41" s="15"/>
      <c r="O41" s="13"/>
      <c r="P41" s="13"/>
      <c r="Q41" s="12"/>
      <c r="R41" s="13"/>
      <c r="S41" s="13"/>
      <c r="T41" s="13"/>
      <c r="U41" s="12"/>
      <c r="V41" s="12"/>
      <c r="W41" s="10"/>
      <c r="X41" s="9"/>
      <c r="Y41" s="10"/>
    </row>
    <row r="42" spans="1:25" s="19" customFormat="1" ht="10.5" customHeight="1">
      <c r="A42" s="18"/>
      <c r="B42" s="18"/>
      <c r="C42" s="18"/>
      <c r="E42" s="20"/>
      <c r="F42" s="20"/>
      <c r="N42" s="36"/>
      <c r="Q42" s="20"/>
      <c r="R42" s="20"/>
      <c r="V42" s="20"/>
      <c r="W42" s="21"/>
      <c r="X42" s="21"/>
      <c r="Y42" s="20"/>
    </row>
    <row r="43" spans="1:23" ht="20.25" customHeight="1">
      <c r="A43" s="1"/>
      <c r="B43" s="1" t="s">
        <v>30</v>
      </c>
      <c r="C43" s="1"/>
      <c r="D43" s="22"/>
      <c r="E43" s="1" t="s">
        <v>33</v>
      </c>
      <c r="F43" s="1"/>
      <c r="G43" s="1"/>
      <c r="H43" s="1"/>
      <c r="I43" s="1"/>
      <c r="J43" s="1"/>
      <c r="K43" s="1"/>
      <c r="L43" s="1"/>
      <c r="M43" s="1"/>
      <c r="O43" s="1"/>
      <c r="P43" s="1" t="s">
        <v>42</v>
      </c>
      <c r="Q43" s="1"/>
      <c r="R43" s="1"/>
      <c r="S43" s="1"/>
      <c r="T43" s="1"/>
      <c r="U43" s="1"/>
      <c r="V43" s="1"/>
      <c r="W43" s="14"/>
    </row>
    <row r="44" spans="1:2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">
      <c r="A45" s="1"/>
      <c r="B45" s="1" t="s">
        <v>32</v>
      </c>
      <c r="C45" s="1"/>
      <c r="D45" s="22"/>
      <c r="E45" s="1" t="s">
        <v>31</v>
      </c>
      <c r="F45" s="1"/>
      <c r="G45" s="1"/>
      <c r="H45" s="1"/>
      <c r="I45" s="1"/>
      <c r="J45" s="1"/>
      <c r="K45" s="1"/>
      <c r="L45" s="1"/>
      <c r="M45" s="1"/>
      <c r="O45" s="1"/>
      <c r="P45" s="1" t="s">
        <v>43</v>
      </c>
      <c r="Q45" s="1"/>
      <c r="R45" s="1"/>
      <c r="S45" s="1"/>
      <c r="T45" s="1"/>
      <c r="U45" s="1"/>
      <c r="V45" s="1"/>
      <c r="W45" s="1"/>
    </row>
    <row r="46" spans="1:23" ht="7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P49" s="1"/>
      <c r="Q49" s="1"/>
      <c r="R49" s="1"/>
      <c r="S49" s="1"/>
      <c r="T49" s="1"/>
      <c r="U49" s="1"/>
      <c r="V49" s="1"/>
      <c r="W49" s="1"/>
    </row>
  </sheetData>
  <sheetProtection/>
  <mergeCells count="43">
    <mergeCell ref="Q25:V25"/>
    <mergeCell ref="Q30:V30"/>
    <mergeCell ref="Q31:V31"/>
    <mergeCell ref="Q32:V32"/>
    <mergeCell ref="A6:Y6"/>
    <mergeCell ref="A7:Y7"/>
    <mergeCell ref="Q26:V26"/>
    <mergeCell ref="Q14:V14"/>
    <mergeCell ref="Q15:V15"/>
    <mergeCell ref="Q16:V16"/>
    <mergeCell ref="A5:Y5"/>
    <mergeCell ref="Q17:V17"/>
    <mergeCell ref="Q18:V18"/>
    <mergeCell ref="Q19:V19"/>
    <mergeCell ref="W8:W9"/>
    <mergeCell ref="F8:F9"/>
    <mergeCell ref="P8:V8"/>
    <mergeCell ref="J8:L8"/>
    <mergeCell ref="Q12:V12"/>
    <mergeCell ref="Q13:V13"/>
    <mergeCell ref="Q35:V35"/>
    <mergeCell ref="Q38:V38"/>
    <mergeCell ref="Q39:V39"/>
    <mergeCell ref="A37:Y37"/>
    <mergeCell ref="Q28:V28"/>
    <mergeCell ref="Q27:V27"/>
    <mergeCell ref="Q29:V29"/>
    <mergeCell ref="Q33:V33"/>
    <mergeCell ref="Q34:V34"/>
    <mergeCell ref="Q21:V21"/>
    <mergeCell ref="Q22:V22"/>
    <mergeCell ref="Q23:V23"/>
    <mergeCell ref="Q24:V24"/>
    <mergeCell ref="E8:E9"/>
    <mergeCell ref="D8:D9"/>
    <mergeCell ref="C8:C9"/>
    <mergeCell ref="B8:B9"/>
    <mergeCell ref="A8:A9"/>
    <mergeCell ref="Q20:V20"/>
    <mergeCell ref="G8:I8"/>
    <mergeCell ref="A11:Y11"/>
    <mergeCell ref="Y8:Y9"/>
    <mergeCell ref="X8:X9"/>
  </mergeCells>
  <printOptions horizontalCentered="1" verticalCentered="1"/>
  <pageMargins left="0.3937007874015748" right="0.1968503937007874" top="0.15748031496062992" bottom="0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 А. Булатова</cp:lastModifiedBy>
  <cp:lastPrinted>2019-06-28T08:29:27Z</cp:lastPrinted>
  <dcterms:created xsi:type="dcterms:W3CDTF">2005-12-11T10:52:00Z</dcterms:created>
  <dcterms:modified xsi:type="dcterms:W3CDTF">2019-11-12T06:30:10Z</dcterms:modified>
  <cp:category/>
  <cp:version/>
  <cp:contentType/>
  <cp:contentStatus/>
</cp:coreProperties>
</file>