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к СОВЕЩ. по программам" sheetId="2" r:id="rId2"/>
  </sheets>
  <calcPr calcId="152511"/>
</workbook>
</file>

<file path=xl/calcChain.xml><?xml version="1.0" encoding="utf-8"?>
<calcChain xmlns="http://schemas.openxmlformats.org/spreadsheetml/2006/main">
  <c r="H22" i="2" l="1"/>
  <c r="F22" i="2"/>
  <c r="I15" i="2"/>
  <c r="H18" i="2"/>
  <c r="I17" i="2"/>
  <c r="E18" i="2"/>
  <c r="J4" i="2"/>
  <c r="Z325" i="1" l="1"/>
  <c r="S325" i="1"/>
  <c r="R325" i="1"/>
  <c r="J325" i="1"/>
  <c r="AD323" i="1"/>
  <c r="AB322" i="1"/>
  <c r="L322" i="1"/>
  <c r="G319" i="1"/>
  <c r="E319" i="1"/>
  <c r="C319" i="1"/>
  <c r="B319" i="1"/>
  <c r="F319" i="1" s="1"/>
  <c r="E318" i="1"/>
  <c r="C318" i="1"/>
  <c r="B318" i="1"/>
  <c r="G317" i="1"/>
  <c r="E317" i="1"/>
  <c r="D317" i="1" s="1"/>
  <c r="C317" i="1"/>
  <c r="B317" i="1"/>
  <c r="F317" i="1" s="1"/>
  <c r="E316" i="1"/>
  <c r="C316" i="1"/>
  <c r="B316" i="1"/>
  <c r="E315" i="1"/>
  <c r="D315" i="1" s="1"/>
  <c r="C315" i="1"/>
  <c r="C314" i="1" s="1"/>
  <c r="B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2" i="1"/>
  <c r="E312" i="1"/>
  <c r="C312" i="1"/>
  <c r="B312" i="1"/>
  <c r="F312" i="1" s="1"/>
  <c r="G311" i="1"/>
  <c r="E311" i="1"/>
  <c r="C311" i="1"/>
  <c r="B311" i="1"/>
  <c r="E310" i="1"/>
  <c r="C310" i="1"/>
  <c r="B310" i="1"/>
  <c r="L309" i="1"/>
  <c r="J309" i="1"/>
  <c r="E309" i="1"/>
  <c r="D309" i="1"/>
  <c r="D302" i="1" s="1"/>
  <c r="E308" i="1"/>
  <c r="D308" i="1" s="1"/>
  <c r="C308" i="1"/>
  <c r="B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I307" i="1"/>
  <c r="H307" i="1"/>
  <c r="E307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R326" i="1" s="1"/>
  <c r="Q305" i="1"/>
  <c r="P305" i="1"/>
  <c r="O305" i="1"/>
  <c r="N305" i="1"/>
  <c r="M305" i="1"/>
  <c r="L305" i="1"/>
  <c r="K305" i="1"/>
  <c r="J305" i="1"/>
  <c r="J326" i="1" s="1"/>
  <c r="I305" i="1"/>
  <c r="H305" i="1"/>
  <c r="E305" i="1"/>
  <c r="D305" i="1"/>
  <c r="C305" i="1"/>
  <c r="B305" i="1"/>
  <c r="AE304" i="1"/>
  <c r="AD304" i="1"/>
  <c r="AD325" i="1" s="1"/>
  <c r="AC304" i="1"/>
  <c r="AB304" i="1"/>
  <c r="AB325" i="1" s="1"/>
  <c r="AA304" i="1"/>
  <c r="Z304" i="1"/>
  <c r="Y304" i="1"/>
  <c r="X304" i="1"/>
  <c r="X325" i="1" s="1"/>
  <c r="W304" i="1"/>
  <c r="V304" i="1"/>
  <c r="V325" i="1" s="1"/>
  <c r="U304" i="1"/>
  <c r="T304" i="1"/>
  <c r="T325" i="1" s="1"/>
  <c r="S304" i="1"/>
  <c r="R304" i="1"/>
  <c r="Q304" i="1"/>
  <c r="P304" i="1"/>
  <c r="P325" i="1" s="1"/>
  <c r="O304" i="1"/>
  <c r="N304" i="1"/>
  <c r="N325" i="1" s="1"/>
  <c r="M304" i="1"/>
  <c r="L304" i="1"/>
  <c r="L325" i="1" s="1"/>
  <c r="K304" i="1"/>
  <c r="J304" i="1"/>
  <c r="I304" i="1"/>
  <c r="H304" i="1"/>
  <c r="H325" i="1" s="1"/>
  <c r="E304" i="1"/>
  <c r="D304" i="1"/>
  <c r="C304" i="1"/>
  <c r="B304" i="1"/>
  <c r="AE303" i="1"/>
  <c r="AD303" i="1"/>
  <c r="AC303" i="1"/>
  <c r="AB303" i="1"/>
  <c r="AB324" i="1" s="1"/>
  <c r="AA303" i="1"/>
  <c r="Z303" i="1"/>
  <c r="Y303" i="1"/>
  <c r="Y324" i="1" s="1"/>
  <c r="X303" i="1"/>
  <c r="X324" i="1" s="1"/>
  <c r="W303" i="1"/>
  <c r="V303" i="1"/>
  <c r="U303" i="1"/>
  <c r="T303" i="1"/>
  <c r="T324" i="1" s="1"/>
  <c r="S303" i="1"/>
  <c r="R303" i="1"/>
  <c r="Q303" i="1"/>
  <c r="P303" i="1"/>
  <c r="P324" i="1" s="1"/>
  <c r="O303" i="1"/>
  <c r="N303" i="1"/>
  <c r="M303" i="1"/>
  <c r="L303" i="1"/>
  <c r="L324" i="1" s="1"/>
  <c r="L331" i="1" s="1"/>
  <c r="K303" i="1"/>
  <c r="J303" i="1"/>
  <c r="I303" i="1"/>
  <c r="I324" i="1" s="1"/>
  <c r="H303" i="1"/>
  <c r="H324" i="1" s="1"/>
  <c r="E303" i="1"/>
  <c r="C303" i="1"/>
  <c r="B303" i="1"/>
  <c r="AE302" i="1"/>
  <c r="AE300" i="1" s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S300" i="1" s="1"/>
  <c r="R302" i="1"/>
  <c r="Q302" i="1"/>
  <c r="P302" i="1"/>
  <c r="O302" i="1"/>
  <c r="O300" i="1" s="1"/>
  <c r="N302" i="1"/>
  <c r="M302" i="1"/>
  <c r="K302" i="1"/>
  <c r="J302" i="1"/>
  <c r="I302" i="1"/>
  <c r="H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E301" i="1"/>
  <c r="D301" i="1"/>
  <c r="AA300" i="1"/>
  <c r="Z300" i="1"/>
  <c r="R300" i="1"/>
  <c r="K300" i="1"/>
  <c r="J300" i="1"/>
  <c r="E298" i="1"/>
  <c r="C298" i="1"/>
  <c r="B298" i="1"/>
  <c r="F297" i="1"/>
  <c r="E297" i="1"/>
  <c r="C297" i="1"/>
  <c r="B297" i="1"/>
  <c r="G296" i="1"/>
  <c r="E296" i="1"/>
  <c r="F296" i="1" s="1"/>
  <c r="D296" i="1"/>
  <c r="C296" i="1"/>
  <c r="C268" i="1" s="1"/>
  <c r="B296" i="1"/>
  <c r="E295" i="1"/>
  <c r="C295" i="1"/>
  <c r="B295" i="1"/>
  <c r="E294" i="1"/>
  <c r="F294" i="1" s="1"/>
  <c r="D294" i="1"/>
  <c r="C294" i="1"/>
  <c r="B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E293" i="1"/>
  <c r="B293" i="1"/>
  <c r="E291" i="1"/>
  <c r="F291" i="1" s="1"/>
  <c r="D291" i="1"/>
  <c r="C291" i="1"/>
  <c r="G291" i="1" s="1"/>
  <c r="B291" i="1"/>
  <c r="E290" i="1"/>
  <c r="C290" i="1"/>
  <c r="B290" i="1"/>
  <c r="G289" i="1"/>
  <c r="E289" i="1"/>
  <c r="F289" i="1" s="1"/>
  <c r="D289" i="1"/>
  <c r="C289" i="1"/>
  <c r="B289" i="1"/>
  <c r="F288" i="1"/>
  <c r="E288" i="1"/>
  <c r="C288" i="1"/>
  <c r="B288" i="1"/>
  <c r="G287" i="1"/>
  <c r="E287" i="1"/>
  <c r="F287" i="1" s="1"/>
  <c r="D287" i="1"/>
  <c r="C287" i="1"/>
  <c r="B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B286" i="1"/>
  <c r="G284" i="1"/>
  <c r="E284" i="1"/>
  <c r="F284" i="1" s="1"/>
  <c r="C284" i="1"/>
  <c r="B284" i="1"/>
  <c r="E283" i="1"/>
  <c r="C283" i="1"/>
  <c r="B283" i="1"/>
  <c r="G282" i="1"/>
  <c r="E282" i="1"/>
  <c r="D282" i="1"/>
  <c r="C282" i="1"/>
  <c r="B282" i="1"/>
  <c r="F282" i="1" s="1"/>
  <c r="E281" i="1"/>
  <c r="D281" i="1"/>
  <c r="C281" i="1"/>
  <c r="B281" i="1"/>
  <c r="E280" i="1"/>
  <c r="D280" i="1"/>
  <c r="C280" i="1"/>
  <c r="C279" i="1" s="1"/>
  <c r="B280" i="1"/>
  <c r="B279" i="1" s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AE277" i="1"/>
  <c r="AE270" i="1" s="1"/>
  <c r="AD277" i="1"/>
  <c r="AC277" i="1"/>
  <c r="AB277" i="1"/>
  <c r="AA277" i="1"/>
  <c r="AA270" i="1" s="1"/>
  <c r="Z277" i="1"/>
  <c r="Y277" i="1"/>
  <c r="X277" i="1"/>
  <c r="W277" i="1"/>
  <c r="W270" i="1" s="1"/>
  <c r="V277" i="1"/>
  <c r="U277" i="1"/>
  <c r="T277" i="1"/>
  <c r="S277" i="1"/>
  <c r="S270" i="1" s="1"/>
  <c r="R277" i="1"/>
  <c r="P277" i="1"/>
  <c r="O277" i="1"/>
  <c r="N277" i="1"/>
  <c r="M277" i="1"/>
  <c r="L277" i="1"/>
  <c r="K277" i="1"/>
  <c r="J277" i="1"/>
  <c r="D277" i="1" s="1"/>
  <c r="D270" i="1" s="1"/>
  <c r="I277" i="1"/>
  <c r="C277" i="1" s="1"/>
  <c r="C270" i="1" s="1"/>
  <c r="H277" i="1"/>
  <c r="F277" i="1"/>
  <c r="E277" i="1"/>
  <c r="G277" i="1" s="1"/>
  <c r="B277" i="1"/>
  <c r="AE276" i="1"/>
  <c r="AE272" i="1" s="1"/>
  <c r="AD276" i="1"/>
  <c r="AC276" i="1"/>
  <c r="AB276" i="1"/>
  <c r="AA276" i="1"/>
  <c r="Z276" i="1"/>
  <c r="Y276" i="1"/>
  <c r="X276" i="1"/>
  <c r="W276" i="1"/>
  <c r="W272" i="1" s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B276" i="1" s="1"/>
  <c r="AE275" i="1"/>
  <c r="AD275" i="1"/>
  <c r="AD268" i="1" s="1"/>
  <c r="AC275" i="1"/>
  <c r="AB275" i="1"/>
  <c r="AA275" i="1"/>
  <c r="Z275" i="1"/>
  <c r="Z268" i="1" s="1"/>
  <c r="Y275" i="1"/>
  <c r="X275" i="1"/>
  <c r="W275" i="1"/>
  <c r="V275" i="1"/>
  <c r="V268" i="1" s="1"/>
  <c r="U275" i="1"/>
  <c r="T275" i="1"/>
  <c r="S275" i="1"/>
  <c r="R275" i="1"/>
  <c r="R268" i="1" s="1"/>
  <c r="Q275" i="1"/>
  <c r="P275" i="1"/>
  <c r="O275" i="1"/>
  <c r="N275" i="1"/>
  <c r="N268" i="1" s="1"/>
  <c r="M275" i="1"/>
  <c r="L275" i="1"/>
  <c r="K275" i="1"/>
  <c r="J275" i="1"/>
  <c r="B275" i="1" s="1"/>
  <c r="B268" i="1" s="1"/>
  <c r="I275" i="1"/>
  <c r="H275" i="1"/>
  <c r="E275" i="1"/>
  <c r="C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E274" i="1" s="1"/>
  <c r="J274" i="1"/>
  <c r="I274" i="1"/>
  <c r="H274" i="1"/>
  <c r="B274" i="1" s="1"/>
  <c r="D274" i="1"/>
  <c r="C274" i="1"/>
  <c r="G274" i="1" s="1"/>
  <c r="AE273" i="1"/>
  <c r="AD273" i="1"/>
  <c r="AD272" i="1" s="1"/>
  <c r="AC273" i="1"/>
  <c r="AB273" i="1"/>
  <c r="AA273" i="1"/>
  <c r="Z273" i="1"/>
  <c r="Z272" i="1" s="1"/>
  <c r="Y273" i="1"/>
  <c r="X273" i="1"/>
  <c r="W273" i="1"/>
  <c r="V273" i="1"/>
  <c r="V272" i="1" s="1"/>
  <c r="U273" i="1"/>
  <c r="T273" i="1"/>
  <c r="S273" i="1"/>
  <c r="R273" i="1"/>
  <c r="R272" i="1" s="1"/>
  <c r="Q273" i="1"/>
  <c r="P273" i="1"/>
  <c r="O273" i="1"/>
  <c r="N273" i="1"/>
  <c r="N272" i="1" s="1"/>
  <c r="M273" i="1"/>
  <c r="L273" i="1"/>
  <c r="K273" i="1"/>
  <c r="J273" i="1"/>
  <c r="J272" i="1" s="1"/>
  <c r="I273" i="1"/>
  <c r="H273" i="1"/>
  <c r="C273" i="1"/>
  <c r="B273" i="1"/>
  <c r="AB272" i="1"/>
  <c r="AA272" i="1"/>
  <c r="X272" i="1"/>
  <c r="T272" i="1"/>
  <c r="S272" i="1"/>
  <c r="P272" i="1"/>
  <c r="L272" i="1"/>
  <c r="K272" i="1"/>
  <c r="H272" i="1"/>
  <c r="AD270" i="1"/>
  <c r="AC270" i="1"/>
  <c r="AB270" i="1"/>
  <c r="Z270" i="1"/>
  <c r="Y270" i="1"/>
  <c r="X270" i="1"/>
  <c r="V270" i="1"/>
  <c r="U270" i="1"/>
  <c r="U326" i="1" s="1"/>
  <c r="T270" i="1"/>
  <c r="R270" i="1"/>
  <c r="Q270" i="1"/>
  <c r="P270" i="1"/>
  <c r="O270" i="1"/>
  <c r="N270" i="1"/>
  <c r="M270" i="1"/>
  <c r="L270" i="1"/>
  <c r="K270" i="1"/>
  <c r="J270" i="1"/>
  <c r="I270" i="1"/>
  <c r="H270" i="1"/>
  <c r="F270" i="1"/>
  <c r="E270" i="1"/>
  <c r="G270" i="1" s="1"/>
  <c r="B270" i="1"/>
  <c r="AE269" i="1"/>
  <c r="AD269" i="1"/>
  <c r="AC269" i="1"/>
  <c r="AB269" i="1"/>
  <c r="AA269" i="1"/>
  <c r="Z269" i="1"/>
  <c r="Y269" i="1"/>
  <c r="X269" i="1"/>
  <c r="W269" i="1"/>
  <c r="W265" i="1" s="1"/>
  <c r="V269" i="1"/>
  <c r="U269" i="1"/>
  <c r="T269" i="1"/>
  <c r="S269" i="1"/>
  <c r="S265" i="1" s="1"/>
  <c r="R269" i="1"/>
  <c r="Q269" i="1"/>
  <c r="P269" i="1"/>
  <c r="O269" i="1"/>
  <c r="N269" i="1"/>
  <c r="M269" i="1"/>
  <c r="L269" i="1"/>
  <c r="K269" i="1"/>
  <c r="J269" i="1"/>
  <c r="I269" i="1"/>
  <c r="H269" i="1"/>
  <c r="AE268" i="1"/>
  <c r="AC268" i="1"/>
  <c r="AB268" i="1"/>
  <c r="AA268" i="1"/>
  <c r="Y268" i="1"/>
  <c r="X268" i="1"/>
  <c r="W268" i="1"/>
  <c r="U268" i="1"/>
  <c r="T268" i="1"/>
  <c r="S268" i="1"/>
  <c r="Q268" i="1"/>
  <c r="Q324" i="1" s="1"/>
  <c r="Q331" i="1" s="1"/>
  <c r="P268" i="1"/>
  <c r="O268" i="1"/>
  <c r="M268" i="1"/>
  <c r="L268" i="1"/>
  <c r="K268" i="1"/>
  <c r="I268" i="1"/>
  <c r="H268" i="1"/>
  <c r="AE267" i="1"/>
  <c r="AD267" i="1"/>
  <c r="AC267" i="1"/>
  <c r="AB267" i="1"/>
  <c r="AA267" i="1"/>
  <c r="Z267" i="1"/>
  <c r="Y267" i="1"/>
  <c r="X267" i="1"/>
  <c r="X265" i="1" s="1"/>
  <c r="W267" i="1"/>
  <c r="V267" i="1"/>
  <c r="U267" i="1"/>
  <c r="T267" i="1"/>
  <c r="S267" i="1"/>
  <c r="R267" i="1"/>
  <c r="Q267" i="1"/>
  <c r="P267" i="1"/>
  <c r="P265" i="1" s="1"/>
  <c r="O267" i="1"/>
  <c r="N267" i="1"/>
  <c r="M267" i="1"/>
  <c r="L267" i="1"/>
  <c r="K267" i="1"/>
  <c r="J267" i="1"/>
  <c r="I267" i="1"/>
  <c r="H267" i="1"/>
  <c r="H265" i="1" s="1"/>
  <c r="C267" i="1"/>
  <c r="AE266" i="1"/>
  <c r="AD266" i="1"/>
  <c r="AB266" i="1"/>
  <c r="AA266" i="1"/>
  <c r="Z266" i="1"/>
  <c r="X266" i="1"/>
  <c r="W266" i="1"/>
  <c r="V266" i="1"/>
  <c r="V265" i="1" s="1"/>
  <c r="T266" i="1"/>
  <c r="S266" i="1"/>
  <c r="R266" i="1"/>
  <c r="R265" i="1" s="1"/>
  <c r="P266" i="1"/>
  <c r="O266" i="1"/>
  <c r="N266" i="1"/>
  <c r="N265" i="1" s="1"/>
  <c r="L266" i="1"/>
  <c r="K266" i="1"/>
  <c r="J266" i="1"/>
  <c r="J265" i="1" s="1"/>
  <c r="H266" i="1"/>
  <c r="AE265" i="1"/>
  <c r="AB265" i="1"/>
  <c r="T265" i="1"/>
  <c r="O265" i="1"/>
  <c r="L265" i="1"/>
  <c r="E262" i="1"/>
  <c r="C262" i="1"/>
  <c r="B262" i="1"/>
  <c r="B249" i="1" s="1"/>
  <c r="E261" i="1"/>
  <c r="F261" i="1" s="1"/>
  <c r="D261" i="1"/>
  <c r="D248" i="1" s="1"/>
  <c r="C261" i="1"/>
  <c r="G261" i="1" s="1"/>
  <c r="B261" i="1"/>
  <c r="E260" i="1"/>
  <c r="C260" i="1"/>
  <c r="B260" i="1"/>
  <c r="AD259" i="1"/>
  <c r="B259" i="1" s="1"/>
  <c r="E259" i="1"/>
  <c r="C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C258" i="1"/>
  <c r="E256" i="1"/>
  <c r="B256" i="1"/>
  <c r="B250" i="1" s="1"/>
  <c r="V254" i="1"/>
  <c r="T254" i="1"/>
  <c r="R254" i="1"/>
  <c r="E254" i="1"/>
  <c r="D254" i="1"/>
  <c r="C254" i="1"/>
  <c r="B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Q252" i="1"/>
  <c r="P252" i="1"/>
  <c r="O252" i="1"/>
  <c r="N252" i="1"/>
  <c r="M252" i="1"/>
  <c r="L252" i="1"/>
  <c r="K252" i="1"/>
  <c r="J252" i="1"/>
  <c r="D252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D250" i="1"/>
  <c r="C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C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E248" i="1"/>
  <c r="C248" i="1"/>
  <c r="G248" i="1" s="1"/>
  <c r="B248" i="1"/>
  <c r="F248" i="1" s="1"/>
  <c r="AE247" i="1"/>
  <c r="AD247" i="1"/>
  <c r="AC247" i="1"/>
  <c r="AB247" i="1"/>
  <c r="AA247" i="1"/>
  <c r="Z247" i="1"/>
  <c r="Y247" i="1"/>
  <c r="Y245" i="1" s="1"/>
  <c r="X247" i="1"/>
  <c r="X245" i="1" s="1"/>
  <c r="W247" i="1"/>
  <c r="V247" i="1"/>
  <c r="U247" i="1"/>
  <c r="T247" i="1"/>
  <c r="S247" i="1"/>
  <c r="Q247" i="1"/>
  <c r="Q245" i="1" s="1"/>
  <c r="P247" i="1"/>
  <c r="P245" i="1" s="1"/>
  <c r="O247" i="1"/>
  <c r="N247" i="1"/>
  <c r="M247" i="1"/>
  <c r="L247" i="1"/>
  <c r="K247" i="1"/>
  <c r="J247" i="1"/>
  <c r="I247" i="1"/>
  <c r="I245" i="1" s="1"/>
  <c r="H247" i="1"/>
  <c r="H245" i="1" s="1"/>
  <c r="AE246" i="1"/>
  <c r="AE245" i="1" s="1"/>
  <c r="AD246" i="1"/>
  <c r="AD245" i="1" s="1"/>
  <c r="AC246" i="1"/>
  <c r="AB246" i="1"/>
  <c r="AA246" i="1"/>
  <c r="AA245" i="1" s="1"/>
  <c r="Z246" i="1"/>
  <c r="Z245" i="1" s="1"/>
  <c r="Y246" i="1"/>
  <c r="X246" i="1"/>
  <c r="W246" i="1"/>
  <c r="W245" i="1" s="1"/>
  <c r="V246" i="1"/>
  <c r="V245" i="1" s="1"/>
  <c r="U246" i="1"/>
  <c r="T246" i="1"/>
  <c r="S246" i="1"/>
  <c r="S245" i="1" s="1"/>
  <c r="R246" i="1"/>
  <c r="Q246" i="1"/>
  <c r="P246" i="1"/>
  <c r="O246" i="1"/>
  <c r="O245" i="1" s="1"/>
  <c r="N246" i="1"/>
  <c r="N245" i="1" s="1"/>
  <c r="M246" i="1"/>
  <c r="L246" i="1"/>
  <c r="K246" i="1"/>
  <c r="K245" i="1" s="1"/>
  <c r="J246" i="1"/>
  <c r="J245" i="1" s="1"/>
  <c r="I246" i="1"/>
  <c r="H246" i="1"/>
  <c r="C246" i="1"/>
  <c r="AC245" i="1"/>
  <c r="AB245" i="1"/>
  <c r="U245" i="1"/>
  <c r="T245" i="1"/>
  <c r="M245" i="1"/>
  <c r="L245" i="1"/>
  <c r="AD241" i="1"/>
  <c r="AD239" i="1" s="1"/>
  <c r="AB241" i="1"/>
  <c r="X241" i="1"/>
  <c r="V241" i="1"/>
  <c r="E241" i="1"/>
  <c r="D241" i="1" s="1"/>
  <c r="D239" i="1" s="1"/>
  <c r="C241" i="1"/>
  <c r="B241" i="1"/>
  <c r="B239" i="1" s="1"/>
  <c r="AE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E239" i="1"/>
  <c r="G237" i="1"/>
  <c r="F237" i="1"/>
  <c r="E237" i="1"/>
  <c r="D237" i="1" s="1"/>
  <c r="C237" i="1"/>
  <c r="B237" i="1"/>
  <c r="B225" i="1" s="1"/>
  <c r="E235" i="1"/>
  <c r="C235" i="1"/>
  <c r="B235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C233" i="1"/>
  <c r="B233" i="1"/>
  <c r="AD229" i="1"/>
  <c r="AB229" i="1"/>
  <c r="Z229" i="1"/>
  <c r="V229" i="1"/>
  <c r="V223" i="1" s="1"/>
  <c r="V221" i="1" s="1"/>
  <c r="T229" i="1"/>
  <c r="R229" i="1"/>
  <c r="P229" i="1"/>
  <c r="P227" i="1" s="1"/>
  <c r="N229" i="1"/>
  <c r="E229" i="1"/>
  <c r="AE227" i="1"/>
  <c r="AD227" i="1"/>
  <c r="AC227" i="1"/>
  <c r="AB227" i="1"/>
  <c r="AA227" i="1"/>
  <c r="Z227" i="1"/>
  <c r="Y227" i="1"/>
  <c r="X227" i="1"/>
  <c r="W227" i="1"/>
  <c r="U227" i="1"/>
  <c r="T227" i="1"/>
  <c r="S227" i="1"/>
  <c r="R227" i="1"/>
  <c r="Q227" i="1"/>
  <c r="O227" i="1"/>
  <c r="M227" i="1"/>
  <c r="L227" i="1"/>
  <c r="K227" i="1"/>
  <c r="J227" i="1"/>
  <c r="I227" i="1"/>
  <c r="H227" i="1"/>
  <c r="AE225" i="1"/>
  <c r="AD225" i="1"/>
  <c r="AC225" i="1"/>
  <c r="AB225" i="1"/>
  <c r="AA225" i="1"/>
  <c r="Z225" i="1"/>
  <c r="Y225" i="1"/>
  <c r="Y221" i="1" s="1"/>
  <c r="X225" i="1"/>
  <c r="X221" i="1" s="1"/>
  <c r="W225" i="1"/>
  <c r="V225" i="1"/>
  <c r="U225" i="1"/>
  <c r="T225" i="1"/>
  <c r="T221" i="1" s="1"/>
  <c r="S225" i="1"/>
  <c r="R225" i="1"/>
  <c r="Q225" i="1"/>
  <c r="Q221" i="1" s="1"/>
  <c r="P225" i="1"/>
  <c r="P221" i="1" s="1"/>
  <c r="O225" i="1"/>
  <c r="N225" i="1"/>
  <c r="M225" i="1"/>
  <c r="L225" i="1"/>
  <c r="K225" i="1"/>
  <c r="J225" i="1"/>
  <c r="I225" i="1"/>
  <c r="I221" i="1" s="1"/>
  <c r="H225" i="1"/>
  <c r="H221" i="1" s="1"/>
  <c r="E225" i="1"/>
  <c r="D225" i="1"/>
  <c r="D326" i="1" s="1"/>
  <c r="C225" i="1"/>
  <c r="AE223" i="1"/>
  <c r="AD223" i="1"/>
  <c r="AD221" i="1" s="1"/>
  <c r="AC223" i="1"/>
  <c r="AB223" i="1"/>
  <c r="AA223" i="1"/>
  <c r="AA221" i="1" s="1"/>
  <c r="Z223" i="1"/>
  <c r="Z221" i="1" s="1"/>
  <c r="Y223" i="1"/>
  <c r="X223" i="1"/>
  <c r="W223" i="1"/>
  <c r="W221" i="1" s="1"/>
  <c r="U223" i="1"/>
  <c r="T223" i="1"/>
  <c r="S223" i="1"/>
  <c r="S221" i="1" s="1"/>
  <c r="R223" i="1"/>
  <c r="R221" i="1" s="1"/>
  <c r="Q223" i="1"/>
  <c r="P223" i="1"/>
  <c r="O223" i="1"/>
  <c r="O221" i="1" s="1"/>
  <c r="M223" i="1"/>
  <c r="L223" i="1"/>
  <c r="K223" i="1"/>
  <c r="K221" i="1" s="1"/>
  <c r="J223" i="1"/>
  <c r="J221" i="1" s="1"/>
  <c r="I223" i="1"/>
  <c r="H223" i="1"/>
  <c r="AC221" i="1"/>
  <c r="U221" i="1"/>
  <c r="M221" i="1"/>
  <c r="D218" i="1"/>
  <c r="B218" i="1"/>
  <c r="B217" i="1"/>
  <c r="S216" i="1"/>
  <c r="K216" i="1"/>
  <c r="Y215" i="1"/>
  <c r="Y214" i="1" s="1"/>
  <c r="Q215" i="1"/>
  <c r="I215" i="1"/>
  <c r="U214" i="1"/>
  <c r="E213" i="1"/>
  <c r="F213" i="1" s="1"/>
  <c r="D213" i="1"/>
  <c r="D212" i="1" s="1"/>
  <c r="C213" i="1"/>
  <c r="C212" i="1" s="1"/>
  <c r="B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E212" i="1"/>
  <c r="B212" i="1"/>
  <c r="AE210" i="1"/>
  <c r="AE209" i="1" s="1"/>
  <c r="AD210" i="1"/>
  <c r="AC210" i="1"/>
  <c r="AB210" i="1"/>
  <c r="AB209" i="1" s="1"/>
  <c r="AA210" i="1"/>
  <c r="AA209" i="1" s="1"/>
  <c r="Z210" i="1"/>
  <c r="Y210" i="1"/>
  <c r="X210" i="1"/>
  <c r="X209" i="1" s="1"/>
  <c r="W210" i="1"/>
  <c r="W209" i="1" s="1"/>
  <c r="V210" i="1"/>
  <c r="U210" i="1"/>
  <c r="T210" i="1"/>
  <c r="T209" i="1" s="1"/>
  <c r="S210" i="1"/>
  <c r="S209" i="1" s="1"/>
  <c r="R210" i="1"/>
  <c r="Q210" i="1"/>
  <c r="P210" i="1"/>
  <c r="P209" i="1" s="1"/>
  <c r="O210" i="1"/>
  <c r="O209" i="1" s="1"/>
  <c r="N210" i="1"/>
  <c r="M210" i="1"/>
  <c r="L210" i="1"/>
  <c r="L209" i="1" s="1"/>
  <c r="K210" i="1"/>
  <c r="K209" i="1" s="1"/>
  <c r="J210" i="1"/>
  <c r="I210" i="1"/>
  <c r="H210" i="1"/>
  <c r="H209" i="1" s="1"/>
  <c r="E210" i="1"/>
  <c r="F210" i="1" s="1"/>
  <c r="C210" i="1"/>
  <c r="C209" i="1" s="1"/>
  <c r="B210" i="1"/>
  <c r="AD209" i="1"/>
  <c r="AC209" i="1"/>
  <c r="Z209" i="1"/>
  <c r="Y209" i="1"/>
  <c r="V209" i="1"/>
  <c r="U209" i="1"/>
  <c r="R209" i="1"/>
  <c r="Q209" i="1"/>
  <c r="N209" i="1"/>
  <c r="M209" i="1"/>
  <c r="J209" i="1"/>
  <c r="I209" i="1"/>
  <c r="E209" i="1"/>
  <c r="B209" i="1"/>
  <c r="E207" i="1"/>
  <c r="F207" i="1" s="1"/>
  <c r="D207" i="1"/>
  <c r="D206" i="1" s="1"/>
  <c r="C207" i="1"/>
  <c r="C206" i="1" s="1"/>
  <c r="B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E206" i="1"/>
  <c r="B206" i="1"/>
  <c r="AE204" i="1"/>
  <c r="AE203" i="1" s="1"/>
  <c r="AD204" i="1"/>
  <c r="AC204" i="1"/>
  <c r="AB204" i="1"/>
  <c r="AB203" i="1" s="1"/>
  <c r="AA204" i="1"/>
  <c r="AA203" i="1" s="1"/>
  <c r="Z204" i="1"/>
  <c r="Y204" i="1"/>
  <c r="X204" i="1"/>
  <c r="X203" i="1" s="1"/>
  <c r="W204" i="1"/>
  <c r="W203" i="1" s="1"/>
  <c r="V204" i="1"/>
  <c r="U204" i="1"/>
  <c r="T204" i="1"/>
  <c r="T203" i="1" s="1"/>
  <c r="S204" i="1"/>
  <c r="S203" i="1" s="1"/>
  <c r="R204" i="1"/>
  <c r="Q204" i="1"/>
  <c r="P204" i="1"/>
  <c r="P203" i="1" s="1"/>
  <c r="O204" i="1"/>
  <c r="O203" i="1" s="1"/>
  <c r="N204" i="1"/>
  <c r="M204" i="1"/>
  <c r="L204" i="1"/>
  <c r="L203" i="1" s="1"/>
  <c r="K204" i="1"/>
  <c r="K203" i="1" s="1"/>
  <c r="J204" i="1"/>
  <c r="I204" i="1"/>
  <c r="H204" i="1"/>
  <c r="H203" i="1" s="1"/>
  <c r="E204" i="1"/>
  <c r="F204" i="1" s="1"/>
  <c r="C204" i="1"/>
  <c r="C203" i="1" s="1"/>
  <c r="B204" i="1"/>
  <c r="AD203" i="1"/>
  <c r="AC203" i="1"/>
  <c r="Z203" i="1"/>
  <c r="Y203" i="1"/>
  <c r="V203" i="1"/>
  <c r="U203" i="1"/>
  <c r="R203" i="1"/>
  <c r="Q203" i="1"/>
  <c r="N203" i="1"/>
  <c r="M203" i="1"/>
  <c r="J203" i="1"/>
  <c r="I203" i="1"/>
  <c r="E203" i="1"/>
  <c r="B203" i="1"/>
  <c r="E199" i="1"/>
  <c r="F199" i="1" s="1"/>
  <c r="D199" i="1"/>
  <c r="D197" i="1" s="1"/>
  <c r="C199" i="1"/>
  <c r="C197" i="1" s="1"/>
  <c r="B199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B197" i="1" s="1"/>
  <c r="I197" i="1"/>
  <c r="H197" i="1"/>
  <c r="E197" i="1"/>
  <c r="AE193" i="1"/>
  <c r="AE191" i="1" s="1"/>
  <c r="AD193" i="1"/>
  <c r="AC193" i="1"/>
  <c r="AB193" i="1"/>
  <c r="AB191" i="1" s="1"/>
  <c r="AA193" i="1"/>
  <c r="AA191" i="1" s="1"/>
  <c r="Z193" i="1"/>
  <c r="Y193" i="1"/>
  <c r="X193" i="1"/>
  <c r="X191" i="1" s="1"/>
  <c r="W193" i="1"/>
  <c r="W191" i="1" s="1"/>
  <c r="V193" i="1"/>
  <c r="U193" i="1"/>
  <c r="T193" i="1"/>
  <c r="T191" i="1" s="1"/>
  <c r="S193" i="1"/>
  <c r="S191" i="1" s="1"/>
  <c r="R193" i="1"/>
  <c r="Q193" i="1"/>
  <c r="P193" i="1"/>
  <c r="P191" i="1" s="1"/>
  <c r="O193" i="1"/>
  <c r="O191" i="1" s="1"/>
  <c r="N193" i="1"/>
  <c r="M193" i="1"/>
  <c r="L193" i="1"/>
  <c r="L191" i="1" s="1"/>
  <c r="K193" i="1"/>
  <c r="K191" i="1" s="1"/>
  <c r="J193" i="1"/>
  <c r="I193" i="1"/>
  <c r="H193" i="1"/>
  <c r="H191" i="1" s="1"/>
  <c r="E193" i="1"/>
  <c r="F193" i="1" s="1"/>
  <c r="C193" i="1"/>
  <c r="C191" i="1" s="1"/>
  <c r="B193" i="1"/>
  <c r="AD191" i="1"/>
  <c r="AC191" i="1"/>
  <c r="Z191" i="1"/>
  <c r="Y191" i="1"/>
  <c r="V191" i="1"/>
  <c r="U191" i="1"/>
  <c r="R191" i="1"/>
  <c r="Q191" i="1"/>
  <c r="N191" i="1"/>
  <c r="M191" i="1"/>
  <c r="J191" i="1"/>
  <c r="I191" i="1"/>
  <c r="E191" i="1"/>
  <c r="B191" i="1"/>
  <c r="E189" i="1"/>
  <c r="F189" i="1" s="1"/>
  <c r="C189" i="1"/>
  <c r="G189" i="1" s="1"/>
  <c r="B189" i="1"/>
  <c r="E188" i="1"/>
  <c r="C188" i="1"/>
  <c r="B188" i="1"/>
  <c r="E187" i="1"/>
  <c r="C187" i="1"/>
  <c r="B187" i="1"/>
  <c r="E186" i="1"/>
  <c r="C186" i="1"/>
  <c r="B186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B185" i="1" s="1"/>
  <c r="E185" i="1"/>
  <c r="G183" i="1"/>
  <c r="F183" i="1"/>
  <c r="E183" i="1"/>
  <c r="C183" i="1"/>
  <c r="B183" i="1"/>
  <c r="G182" i="1"/>
  <c r="E182" i="1"/>
  <c r="C182" i="1"/>
  <c r="B182" i="1"/>
  <c r="E181" i="1"/>
  <c r="C181" i="1"/>
  <c r="B181" i="1"/>
  <c r="G180" i="1"/>
  <c r="E180" i="1"/>
  <c r="C180" i="1"/>
  <c r="B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B179" i="1" s="1"/>
  <c r="C179" i="1"/>
  <c r="F177" i="1"/>
  <c r="E177" i="1"/>
  <c r="C177" i="1"/>
  <c r="B177" i="1"/>
  <c r="G176" i="1"/>
  <c r="E176" i="1"/>
  <c r="C176" i="1"/>
  <c r="B176" i="1"/>
  <c r="F176" i="1" s="1"/>
  <c r="E175" i="1"/>
  <c r="F175" i="1" s="1"/>
  <c r="D175" i="1"/>
  <c r="D173" i="1" s="1"/>
  <c r="C175" i="1"/>
  <c r="B175" i="1"/>
  <c r="E174" i="1"/>
  <c r="C174" i="1"/>
  <c r="B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B173" i="1" s="1"/>
  <c r="I173" i="1"/>
  <c r="H173" i="1"/>
  <c r="C173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D171" i="1"/>
  <c r="C171" i="1"/>
  <c r="B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E170" i="1"/>
  <c r="D170" i="1"/>
  <c r="C170" i="1"/>
  <c r="AE169" i="1"/>
  <c r="AD169" i="1"/>
  <c r="AC169" i="1"/>
  <c r="AB169" i="1"/>
  <c r="AA169" i="1"/>
  <c r="Z169" i="1"/>
  <c r="Y169" i="1"/>
  <c r="X169" i="1"/>
  <c r="X167" i="1" s="1"/>
  <c r="W169" i="1"/>
  <c r="V169" i="1"/>
  <c r="U169" i="1"/>
  <c r="T169" i="1"/>
  <c r="S169" i="1"/>
  <c r="R169" i="1"/>
  <c r="Q169" i="1"/>
  <c r="P169" i="1"/>
  <c r="P167" i="1" s="1"/>
  <c r="O169" i="1"/>
  <c r="N169" i="1"/>
  <c r="M169" i="1"/>
  <c r="L169" i="1"/>
  <c r="K169" i="1"/>
  <c r="J169" i="1"/>
  <c r="I169" i="1"/>
  <c r="H169" i="1"/>
  <c r="H167" i="1" s="1"/>
  <c r="AE168" i="1"/>
  <c r="AE167" i="1" s="1"/>
  <c r="AD168" i="1"/>
  <c r="AD167" i="1" s="1"/>
  <c r="AC168" i="1"/>
  <c r="AB168" i="1"/>
  <c r="AA168" i="1"/>
  <c r="Z168" i="1"/>
  <c r="Y168" i="1"/>
  <c r="X168" i="1"/>
  <c r="W168" i="1"/>
  <c r="W167" i="1" s="1"/>
  <c r="V168" i="1"/>
  <c r="V167" i="1" s="1"/>
  <c r="U168" i="1"/>
  <c r="T168" i="1"/>
  <c r="S168" i="1"/>
  <c r="R168" i="1"/>
  <c r="Q168" i="1"/>
  <c r="P168" i="1"/>
  <c r="O168" i="1"/>
  <c r="O167" i="1" s="1"/>
  <c r="N168" i="1"/>
  <c r="M168" i="1"/>
  <c r="L168" i="1"/>
  <c r="K168" i="1"/>
  <c r="J168" i="1"/>
  <c r="I168" i="1"/>
  <c r="H168" i="1"/>
  <c r="E168" i="1"/>
  <c r="D168" i="1"/>
  <c r="C168" i="1"/>
  <c r="AA167" i="1"/>
  <c r="S167" i="1"/>
  <c r="N167" i="1"/>
  <c r="K167" i="1"/>
  <c r="E165" i="1"/>
  <c r="G165" i="1" s="1"/>
  <c r="C165" i="1"/>
  <c r="B165" i="1"/>
  <c r="G164" i="1"/>
  <c r="F164" i="1"/>
  <c r="E164" i="1"/>
  <c r="C164" i="1"/>
  <c r="B164" i="1"/>
  <c r="G163" i="1"/>
  <c r="E163" i="1"/>
  <c r="D163" i="1"/>
  <c r="D161" i="1" s="1"/>
  <c r="C163" i="1"/>
  <c r="B163" i="1"/>
  <c r="F163" i="1" s="1"/>
  <c r="E162" i="1"/>
  <c r="C162" i="1"/>
  <c r="B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C161" i="1"/>
  <c r="B161" i="1"/>
  <c r="E159" i="1"/>
  <c r="C159" i="1"/>
  <c r="C153" i="1" s="1"/>
  <c r="C218" i="1" s="1"/>
  <c r="B159" i="1"/>
  <c r="F158" i="1"/>
  <c r="E158" i="1"/>
  <c r="C158" i="1"/>
  <c r="B158" i="1"/>
  <c r="AA157" i="1"/>
  <c r="AA151" i="1" s="1"/>
  <c r="AA216" i="1" s="1"/>
  <c r="Z157" i="1"/>
  <c r="G156" i="1"/>
  <c r="E156" i="1"/>
  <c r="C156" i="1"/>
  <c r="B156" i="1"/>
  <c r="F156" i="1" s="1"/>
  <c r="AE155" i="1"/>
  <c r="AD155" i="1"/>
  <c r="AC155" i="1"/>
  <c r="AB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AE153" i="1"/>
  <c r="AD153" i="1"/>
  <c r="AD149" i="1" s="1"/>
  <c r="AC153" i="1"/>
  <c r="AB153" i="1"/>
  <c r="AA153" i="1"/>
  <c r="Z153" i="1"/>
  <c r="Y153" i="1"/>
  <c r="X153" i="1"/>
  <c r="W153" i="1"/>
  <c r="V153" i="1"/>
  <c r="V149" i="1" s="1"/>
  <c r="U153" i="1"/>
  <c r="T153" i="1"/>
  <c r="S153" i="1"/>
  <c r="R153" i="1"/>
  <c r="Q153" i="1"/>
  <c r="P153" i="1"/>
  <c r="O153" i="1"/>
  <c r="N153" i="1"/>
  <c r="N149" i="1" s="1"/>
  <c r="M153" i="1"/>
  <c r="L153" i="1"/>
  <c r="K153" i="1"/>
  <c r="J153" i="1"/>
  <c r="B153" i="1" s="1"/>
  <c r="I153" i="1"/>
  <c r="H153" i="1"/>
  <c r="E153" i="1"/>
  <c r="D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B152" i="1" s="1"/>
  <c r="D152" i="1"/>
  <c r="C152" i="1"/>
  <c r="AE151" i="1"/>
  <c r="AE216" i="1" s="1"/>
  <c r="AD151" i="1"/>
  <c r="AD216" i="1" s="1"/>
  <c r="AC151" i="1"/>
  <c r="AC216" i="1" s="1"/>
  <c r="AC214" i="1" s="1"/>
  <c r="AB151" i="1"/>
  <c r="Z151" i="1"/>
  <c r="Z216" i="1" s="1"/>
  <c r="Y151" i="1"/>
  <c r="Y216" i="1" s="1"/>
  <c r="X151" i="1"/>
  <c r="X216" i="1" s="1"/>
  <c r="W151" i="1"/>
  <c r="W216" i="1" s="1"/>
  <c r="V151" i="1"/>
  <c r="V216" i="1" s="1"/>
  <c r="U151" i="1"/>
  <c r="U216" i="1" s="1"/>
  <c r="T151" i="1"/>
  <c r="S151" i="1"/>
  <c r="R151" i="1"/>
  <c r="R216" i="1" s="1"/>
  <c r="Q151" i="1"/>
  <c r="Q216" i="1" s="1"/>
  <c r="P151" i="1"/>
  <c r="P216" i="1" s="1"/>
  <c r="O151" i="1"/>
  <c r="O216" i="1" s="1"/>
  <c r="N151" i="1"/>
  <c r="N216" i="1" s="1"/>
  <c r="M151" i="1"/>
  <c r="M216" i="1" s="1"/>
  <c r="L151" i="1"/>
  <c r="K151" i="1"/>
  <c r="J151" i="1"/>
  <c r="J216" i="1" s="1"/>
  <c r="I151" i="1"/>
  <c r="I216" i="1" s="1"/>
  <c r="H151" i="1"/>
  <c r="H216" i="1" s="1"/>
  <c r="B151" i="1"/>
  <c r="AE150" i="1"/>
  <c r="AD150" i="1"/>
  <c r="AC150" i="1"/>
  <c r="AC215" i="1" s="1"/>
  <c r="AB150" i="1"/>
  <c r="AA150" i="1"/>
  <c r="Z150" i="1"/>
  <c r="Y150" i="1"/>
  <c r="X150" i="1"/>
  <c r="W150" i="1"/>
  <c r="V150" i="1"/>
  <c r="U150" i="1"/>
  <c r="U215" i="1" s="1"/>
  <c r="T150" i="1"/>
  <c r="S150" i="1"/>
  <c r="R150" i="1"/>
  <c r="Q150" i="1"/>
  <c r="P150" i="1"/>
  <c r="O150" i="1"/>
  <c r="N150" i="1"/>
  <c r="M150" i="1"/>
  <c r="M215" i="1" s="1"/>
  <c r="M214" i="1" s="1"/>
  <c r="L150" i="1"/>
  <c r="K150" i="1"/>
  <c r="J150" i="1"/>
  <c r="I150" i="1"/>
  <c r="H150" i="1"/>
  <c r="D150" i="1"/>
  <c r="C150" i="1"/>
  <c r="AC149" i="1"/>
  <c r="U149" i="1"/>
  <c r="M149" i="1"/>
  <c r="E146" i="1"/>
  <c r="C146" i="1"/>
  <c r="G146" i="1" s="1"/>
  <c r="B146" i="1"/>
  <c r="F146" i="1" s="1"/>
  <c r="E145" i="1"/>
  <c r="C145" i="1"/>
  <c r="B145" i="1"/>
  <c r="E144" i="1"/>
  <c r="C144" i="1"/>
  <c r="B144" i="1"/>
  <c r="G143" i="1"/>
  <c r="F143" i="1"/>
  <c r="E143" i="1"/>
  <c r="C143" i="1"/>
  <c r="B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B142" i="1" s="1"/>
  <c r="D142" i="1"/>
  <c r="C142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B140" i="1" s="1"/>
  <c r="I140" i="1"/>
  <c r="E140" i="1" s="1"/>
  <c r="H140" i="1"/>
  <c r="D140" i="1"/>
  <c r="C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E139" i="1" s="1"/>
  <c r="F139" i="1" s="1"/>
  <c r="J139" i="1"/>
  <c r="I139" i="1"/>
  <c r="H139" i="1"/>
  <c r="B139" i="1" s="1"/>
  <c r="D139" i="1"/>
  <c r="C139" i="1"/>
  <c r="G139" i="1" s="1"/>
  <c r="AE138" i="1"/>
  <c r="AD138" i="1"/>
  <c r="AD136" i="1" s="1"/>
  <c r="AD134" i="1" s="1"/>
  <c r="AC138" i="1"/>
  <c r="AC136" i="1" s="1"/>
  <c r="AC134" i="1" s="1"/>
  <c r="AB138" i="1"/>
  <c r="AA138" i="1"/>
  <c r="Z138" i="1"/>
  <c r="Y138" i="1"/>
  <c r="X138" i="1"/>
  <c r="W138" i="1"/>
  <c r="V138" i="1"/>
  <c r="V136" i="1" s="1"/>
  <c r="V134" i="1" s="1"/>
  <c r="U138" i="1"/>
  <c r="U136" i="1" s="1"/>
  <c r="U134" i="1" s="1"/>
  <c r="T138" i="1"/>
  <c r="S138" i="1"/>
  <c r="R138" i="1"/>
  <c r="Q138" i="1"/>
  <c r="P138" i="1"/>
  <c r="O138" i="1"/>
  <c r="N138" i="1"/>
  <c r="N136" i="1" s="1"/>
  <c r="N134" i="1" s="1"/>
  <c r="M138" i="1"/>
  <c r="M136" i="1" s="1"/>
  <c r="M134" i="1" s="1"/>
  <c r="L138" i="1"/>
  <c r="K138" i="1"/>
  <c r="J138" i="1"/>
  <c r="B138" i="1" s="1"/>
  <c r="I138" i="1"/>
  <c r="E138" i="1" s="1"/>
  <c r="H138" i="1"/>
  <c r="D138" i="1"/>
  <c r="C138" i="1"/>
  <c r="AE137" i="1"/>
  <c r="AE136" i="1" s="1"/>
  <c r="AD137" i="1"/>
  <c r="AC137" i="1"/>
  <c r="AB137" i="1"/>
  <c r="AB136" i="1" s="1"/>
  <c r="AA137" i="1"/>
  <c r="AA136" i="1" s="1"/>
  <c r="Z137" i="1"/>
  <c r="Y137" i="1"/>
  <c r="X137" i="1"/>
  <c r="X136" i="1" s="1"/>
  <c r="W137" i="1"/>
  <c r="W136" i="1" s="1"/>
  <c r="V137" i="1"/>
  <c r="U137" i="1"/>
  <c r="T137" i="1"/>
  <c r="T136" i="1" s="1"/>
  <c r="S137" i="1"/>
  <c r="S136" i="1" s="1"/>
  <c r="R137" i="1"/>
  <c r="Q137" i="1"/>
  <c r="P137" i="1"/>
  <c r="P136" i="1" s="1"/>
  <c r="O137" i="1"/>
  <c r="O136" i="1" s="1"/>
  <c r="N137" i="1"/>
  <c r="M137" i="1"/>
  <c r="L137" i="1"/>
  <c r="L136" i="1" s="1"/>
  <c r="K137" i="1"/>
  <c r="J137" i="1"/>
  <c r="I137" i="1"/>
  <c r="H137" i="1"/>
  <c r="D137" i="1"/>
  <c r="D136" i="1" s="1"/>
  <c r="D134" i="1" s="1"/>
  <c r="C137" i="1"/>
  <c r="C136" i="1" s="1"/>
  <c r="C134" i="1" s="1"/>
  <c r="Z136" i="1"/>
  <c r="Z134" i="1" s="1"/>
  <c r="Y136" i="1"/>
  <c r="Y134" i="1" s="1"/>
  <c r="R136" i="1"/>
  <c r="R134" i="1" s="1"/>
  <c r="Q136" i="1"/>
  <c r="Q134" i="1" s="1"/>
  <c r="J136" i="1"/>
  <c r="J134" i="1" s="1"/>
  <c r="I136" i="1"/>
  <c r="I134" i="1" s="1"/>
  <c r="AE134" i="1"/>
  <c r="AB134" i="1"/>
  <c r="AA134" i="1"/>
  <c r="X134" i="1"/>
  <c r="W134" i="1"/>
  <c r="T134" i="1"/>
  <c r="S134" i="1"/>
  <c r="P134" i="1"/>
  <c r="O134" i="1"/>
  <c r="L134" i="1"/>
  <c r="AA133" i="1"/>
  <c r="S133" i="1"/>
  <c r="K133" i="1"/>
  <c r="Y132" i="1"/>
  <c r="Q132" i="1"/>
  <c r="I132" i="1"/>
  <c r="AE131" i="1"/>
  <c r="AB131" i="1"/>
  <c r="AB331" i="1" s="1"/>
  <c r="AA131" i="1"/>
  <c r="X131" i="1"/>
  <c r="W131" i="1"/>
  <c r="S131" i="1"/>
  <c r="P131" i="1"/>
  <c r="O131" i="1"/>
  <c r="L131" i="1"/>
  <c r="K131" i="1"/>
  <c r="H131" i="1"/>
  <c r="L129" i="1"/>
  <c r="G127" i="1"/>
  <c r="E127" i="1"/>
  <c r="C127" i="1"/>
  <c r="B127" i="1"/>
  <c r="E126" i="1"/>
  <c r="C126" i="1"/>
  <c r="B126" i="1"/>
  <c r="G125" i="1"/>
  <c r="E125" i="1"/>
  <c r="D125" i="1" s="1"/>
  <c r="C125" i="1"/>
  <c r="B125" i="1"/>
  <c r="F125" i="1" s="1"/>
  <c r="E124" i="1"/>
  <c r="D124" i="1" s="1"/>
  <c r="C124" i="1"/>
  <c r="B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C123" i="1"/>
  <c r="B123" i="1"/>
  <c r="E121" i="1"/>
  <c r="C121" i="1"/>
  <c r="B121" i="1"/>
  <c r="F120" i="1"/>
  <c r="E120" i="1"/>
  <c r="G120" i="1" s="1"/>
  <c r="C120" i="1"/>
  <c r="B120" i="1"/>
  <c r="AD119" i="1"/>
  <c r="AD117" i="1" s="1"/>
  <c r="B117" i="1" s="1"/>
  <c r="E119" i="1"/>
  <c r="D119" i="1"/>
  <c r="D117" i="1" s="1"/>
  <c r="C119" i="1"/>
  <c r="G119" i="1" s="1"/>
  <c r="F118" i="1"/>
  <c r="E118" i="1"/>
  <c r="C118" i="1"/>
  <c r="B118" i="1"/>
  <c r="AE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E115" i="1"/>
  <c r="C115" i="1"/>
  <c r="B115" i="1"/>
  <c r="F114" i="1"/>
  <c r="E114" i="1"/>
  <c r="G114" i="1" s="1"/>
  <c r="C114" i="1"/>
  <c r="B114" i="1"/>
  <c r="E113" i="1"/>
  <c r="D113" i="1"/>
  <c r="C113" i="1"/>
  <c r="G113" i="1" s="1"/>
  <c r="B113" i="1"/>
  <c r="E112" i="1"/>
  <c r="C112" i="1"/>
  <c r="B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E111" i="1"/>
  <c r="D111" i="1"/>
  <c r="B111" i="1"/>
  <c r="F111" i="1" s="1"/>
  <c r="AE109" i="1"/>
  <c r="AE133" i="1" s="1"/>
  <c r="AD109" i="1"/>
  <c r="AC109" i="1"/>
  <c r="AB109" i="1"/>
  <c r="AB105" i="1" s="1"/>
  <c r="AA109" i="1"/>
  <c r="Z109" i="1"/>
  <c r="Y109" i="1"/>
  <c r="X109" i="1"/>
  <c r="X105" i="1" s="1"/>
  <c r="W109" i="1"/>
  <c r="W133" i="1" s="1"/>
  <c r="V109" i="1"/>
  <c r="U109" i="1"/>
  <c r="T109" i="1"/>
  <c r="T105" i="1" s="1"/>
  <c r="S109" i="1"/>
  <c r="R109" i="1"/>
  <c r="Q109" i="1"/>
  <c r="P109" i="1"/>
  <c r="P105" i="1" s="1"/>
  <c r="O109" i="1"/>
  <c r="O133" i="1" s="1"/>
  <c r="N109" i="1"/>
  <c r="M109" i="1"/>
  <c r="L109" i="1"/>
  <c r="L105" i="1" s="1"/>
  <c r="K109" i="1"/>
  <c r="E109" i="1" s="1"/>
  <c r="J109" i="1"/>
  <c r="I109" i="1"/>
  <c r="H109" i="1"/>
  <c r="B109" i="1" s="1"/>
  <c r="D109" i="1"/>
  <c r="AE108" i="1"/>
  <c r="AD108" i="1"/>
  <c r="AC108" i="1"/>
  <c r="AC132" i="1" s="1"/>
  <c r="AB108" i="1"/>
  <c r="AA108" i="1"/>
  <c r="Z108" i="1"/>
  <c r="Y108" i="1"/>
  <c r="X108" i="1"/>
  <c r="W108" i="1"/>
  <c r="V108" i="1"/>
  <c r="U108" i="1"/>
  <c r="U132" i="1" s="1"/>
  <c r="T108" i="1"/>
  <c r="S108" i="1"/>
  <c r="R108" i="1"/>
  <c r="Q108" i="1"/>
  <c r="P108" i="1"/>
  <c r="O108" i="1"/>
  <c r="N108" i="1"/>
  <c r="M108" i="1"/>
  <c r="M132" i="1" s="1"/>
  <c r="L108" i="1"/>
  <c r="K108" i="1"/>
  <c r="J108" i="1"/>
  <c r="I108" i="1"/>
  <c r="H108" i="1"/>
  <c r="F108" i="1"/>
  <c r="E108" i="1"/>
  <c r="G108" i="1" s="1"/>
  <c r="C108" i="1"/>
  <c r="B108" i="1"/>
  <c r="AE107" i="1"/>
  <c r="AE105" i="1" s="1"/>
  <c r="AC107" i="1"/>
  <c r="AB107" i="1"/>
  <c r="AA107" i="1"/>
  <c r="Z107" i="1"/>
  <c r="Y107" i="1"/>
  <c r="X107" i="1"/>
  <c r="W107" i="1"/>
  <c r="W105" i="1" s="1"/>
  <c r="V107" i="1"/>
  <c r="U107" i="1"/>
  <c r="T107" i="1"/>
  <c r="S107" i="1"/>
  <c r="S130" i="1" s="1"/>
  <c r="R107" i="1"/>
  <c r="Q107" i="1"/>
  <c r="P107" i="1"/>
  <c r="O107" i="1"/>
  <c r="O130" i="1" s="1"/>
  <c r="N107" i="1"/>
  <c r="M107" i="1"/>
  <c r="L107" i="1"/>
  <c r="K107" i="1"/>
  <c r="J107" i="1"/>
  <c r="I107" i="1"/>
  <c r="H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C106" i="1"/>
  <c r="AA105" i="1"/>
  <c r="S105" i="1"/>
  <c r="K105" i="1"/>
  <c r="F103" i="1"/>
  <c r="E103" i="1"/>
  <c r="G103" i="1" s="1"/>
  <c r="C103" i="1"/>
  <c r="B103" i="1"/>
  <c r="G102" i="1"/>
  <c r="E102" i="1"/>
  <c r="C102" i="1"/>
  <c r="B102" i="1"/>
  <c r="F102" i="1" s="1"/>
  <c r="Y101" i="1"/>
  <c r="W101" i="1"/>
  <c r="V101" i="1"/>
  <c r="U101" i="1"/>
  <c r="T101" i="1"/>
  <c r="T99" i="1" s="1"/>
  <c r="S101" i="1"/>
  <c r="R101" i="1"/>
  <c r="P101" i="1"/>
  <c r="C101" i="1"/>
  <c r="C99" i="1" s="1"/>
  <c r="E100" i="1"/>
  <c r="C100" i="1"/>
  <c r="B100" i="1"/>
  <c r="AE99" i="1"/>
  <c r="AD99" i="1"/>
  <c r="AC99" i="1"/>
  <c r="AB99" i="1"/>
  <c r="AA99" i="1"/>
  <c r="Z99" i="1"/>
  <c r="X99" i="1"/>
  <c r="W99" i="1"/>
  <c r="V99" i="1"/>
  <c r="S99" i="1"/>
  <c r="R99" i="1"/>
  <c r="Q99" i="1"/>
  <c r="O99" i="1"/>
  <c r="N99" i="1"/>
  <c r="M99" i="1"/>
  <c r="L99" i="1"/>
  <c r="K99" i="1"/>
  <c r="J99" i="1"/>
  <c r="I99" i="1"/>
  <c r="H99" i="1"/>
  <c r="E97" i="1"/>
  <c r="C97" i="1"/>
  <c r="C83" i="1" s="1"/>
  <c r="B97" i="1"/>
  <c r="F96" i="1"/>
  <c r="E96" i="1"/>
  <c r="C96" i="1"/>
  <c r="B96" i="1"/>
  <c r="T95" i="1"/>
  <c r="E95" i="1"/>
  <c r="D95" i="1"/>
  <c r="C95" i="1"/>
  <c r="G95" i="1" s="1"/>
  <c r="T94" i="1"/>
  <c r="S94" i="1"/>
  <c r="R94" i="1"/>
  <c r="C94" i="1" s="1"/>
  <c r="P94" i="1"/>
  <c r="E94" i="1"/>
  <c r="B94" i="1"/>
  <c r="T93" i="1"/>
  <c r="E93" i="1"/>
  <c r="D93" i="1" s="1"/>
  <c r="AE92" i="1"/>
  <c r="AD92" i="1"/>
  <c r="AC92" i="1"/>
  <c r="AB92" i="1"/>
  <c r="AA92" i="1"/>
  <c r="Z92" i="1"/>
  <c r="Y92" i="1"/>
  <c r="X92" i="1"/>
  <c r="W92" i="1"/>
  <c r="V92" i="1"/>
  <c r="U92" i="1"/>
  <c r="S92" i="1"/>
  <c r="R92" i="1"/>
  <c r="Q92" i="1"/>
  <c r="P92" i="1"/>
  <c r="O92" i="1"/>
  <c r="N92" i="1"/>
  <c r="M92" i="1"/>
  <c r="L92" i="1"/>
  <c r="K92" i="1"/>
  <c r="J92" i="1"/>
  <c r="I92" i="1"/>
  <c r="H92" i="1"/>
  <c r="E90" i="1"/>
  <c r="D90" i="1"/>
  <c r="D83" i="1" s="1"/>
  <c r="C90" i="1"/>
  <c r="B90" i="1"/>
  <c r="G89" i="1"/>
  <c r="F89" i="1"/>
  <c r="E89" i="1"/>
  <c r="C89" i="1"/>
  <c r="B89" i="1"/>
  <c r="B82" i="1" s="1"/>
  <c r="AD88" i="1"/>
  <c r="B88" i="1" s="1"/>
  <c r="W88" i="1"/>
  <c r="T88" i="1"/>
  <c r="G88" i="1"/>
  <c r="E88" i="1"/>
  <c r="D88" i="1" s="1"/>
  <c r="D81" i="1" s="1"/>
  <c r="D131" i="1" s="1"/>
  <c r="C88" i="1"/>
  <c r="AD87" i="1"/>
  <c r="Z87" i="1"/>
  <c r="T87" i="1"/>
  <c r="R87" i="1"/>
  <c r="E87" i="1"/>
  <c r="D87" i="1"/>
  <c r="AD86" i="1"/>
  <c r="AD85" i="1" s="1"/>
  <c r="T86" i="1"/>
  <c r="R86" i="1"/>
  <c r="C86" i="1" s="1"/>
  <c r="F86" i="1"/>
  <c r="E86" i="1"/>
  <c r="B86" i="1"/>
  <c r="AE85" i="1"/>
  <c r="AC85" i="1"/>
  <c r="AB85" i="1"/>
  <c r="AA85" i="1"/>
  <c r="Z85" i="1"/>
  <c r="Y85" i="1"/>
  <c r="X85" i="1"/>
  <c r="W85" i="1"/>
  <c r="V85" i="1"/>
  <c r="U85" i="1"/>
  <c r="T85" i="1"/>
  <c r="S85" i="1"/>
  <c r="Q85" i="1"/>
  <c r="P85" i="1"/>
  <c r="O85" i="1"/>
  <c r="N85" i="1"/>
  <c r="M85" i="1"/>
  <c r="L85" i="1"/>
  <c r="K85" i="1"/>
  <c r="J85" i="1"/>
  <c r="I85" i="1"/>
  <c r="H85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G83" i="1" s="1"/>
  <c r="B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O78" i="1" s="1"/>
  <c r="N82" i="1"/>
  <c r="M82" i="1"/>
  <c r="L82" i="1"/>
  <c r="K82" i="1"/>
  <c r="J82" i="1"/>
  <c r="I82" i="1"/>
  <c r="H82" i="1"/>
  <c r="D82" i="1"/>
  <c r="C82" i="1"/>
  <c r="AE81" i="1"/>
  <c r="AD81" i="1"/>
  <c r="AD131" i="1" s="1"/>
  <c r="AC81" i="1"/>
  <c r="AC131" i="1" s="1"/>
  <c r="AB81" i="1"/>
  <c r="AA81" i="1"/>
  <c r="Z81" i="1"/>
  <c r="Z131" i="1" s="1"/>
  <c r="Y81" i="1"/>
  <c r="Y131" i="1" s="1"/>
  <c r="X81" i="1"/>
  <c r="W81" i="1"/>
  <c r="V81" i="1"/>
  <c r="V131" i="1" s="1"/>
  <c r="U81" i="1"/>
  <c r="U131" i="1" s="1"/>
  <c r="S81" i="1"/>
  <c r="R81" i="1"/>
  <c r="R131" i="1" s="1"/>
  <c r="Q81" i="1"/>
  <c r="Q131" i="1" s="1"/>
  <c r="P81" i="1"/>
  <c r="O81" i="1"/>
  <c r="N81" i="1"/>
  <c r="N131" i="1" s="1"/>
  <c r="M81" i="1"/>
  <c r="M131" i="1" s="1"/>
  <c r="L81" i="1"/>
  <c r="K81" i="1"/>
  <c r="J81" i="1"/>
  <c r="J131" i="1" s="1"/>
  <c r="I81" i="1"/>
  <c r="I131" i="1" s="1"/>
  <c r="H81" i="1"/>
  <c r="E81" i="1"/>
  <c r="AE80" i="1"/>
  <c r="AE78" i="1" s="1"/>
  <c r="AD80" i="1"/>
  <c r="AC80" i="1"/>
  <c r="AB80" i="1"/>
  <c r="AA80" i="1"/>
  <c r="Z80" i="1"/>
  <c r="X80" i="1"/>
  <c r="W80" i="1"/>
  <c r="W78" i="1" s="1"/>
  <c r="V80" i="1"/>
  <c r="T80" i="1"/>
  <c r="S80" i="1"/>
  <c r="Q80" i="1"/>
  <c r="P80" i="1"/>
  <c r="P78" i="1" s="1"/>
  <c r="O80" i="1"/>
  <c r="N80" i="1"/>
  <c r="M80" i="1"/>
  <c r="L80" i="1"/>
  <c r="L78" i="1" s="1"/>
  <c r="K80" i="1"/>
  <c r="J80" i="1"/>
  <c r="I80" i="1"/>
  <c r="H80" i="1"/>
  <c r="H78" i="1" s="1"/>
  <c r="AE79" i="1"/>
  <c r="AD79" i="1"/>
  <c r="AD78" i="1" s="1"/>
  <c r="AC79" i="1"/>
  <c r="AC78" i="1" s="1"/>
  <c r="AB79" i="1"/>
  <c r="AA79" i="1"/>
  <c r="Z79" i="1"/>
  <c r="Z78" i="1" s="1"/>
  <c r="Y79" i="1"/>
  <c r="X79" i="1"/>
  <c r="W79" i="1"/>
  <c r="V79" i="1"/>
  <c r="V78" i="1" s="1"/>
  <c r="U79" i="1"/>
  <c r="S79" i="1"/>
  <c r="R79" i="1"/>
  <c r="Q79" i="1"/>
  <c r="Q78" i="1" s="1"/>
  <c r="P79" i="1"/>
  <c r="O79" i="1"/>
  <c r="N79" i="1"/>
  <c r="N78" i="1" s="1"/>
  <c r="M79" i="1"/>
  <c r="M78" i="1" s="1"/>
  <c r="L79" i="1"/>
  <c r="K79" i="1"/>
  <c r="J79" i="1"/>
  <c r="J78" i="1" s="1"/>
  <c r="I79" i="1"/>
  <c r="I78" i="1" s="1"/>
  <c r="H79" i="1"/>
  <c r="E79" i="1"/>
  <c r="AB78" i="1"/>
  <c r="AA78" i="1"/>
  <c r="X78" i="1"/>
  <c r="S78" i="1"/>
  <c r="K78" i="1"/>
  <c r="E76" i="1"/>
  <c r="G76" i="1" s="1"/>
  <c r="C76" i="1"/>
  <c r="B76" i="1"/>
  <c r="G75" i="1"/>
  <c r="E75" i="1"/>
  <c r="C75" i="1"/>
  <c r="B75" i="1"/>
  <c r="F75" i="1" s="1"/>
  <c r="E74" i="1"/>
  <c r="F74" i="1" s="1"/>
  <c r="C74" i="1"/>
  <c r="C72" i="1" s="1"/>
  <c r="B74" i="1"/>
  <c r="AB73" i="1"/>
  <c r="E73" i="1"/>
  <c r="C73" i="1"/>
  <c r="B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B72" i="1" s="1"/>
  <c r="E70" i="1"/>
  <c r="G70" i="1" s="1"/>
  <c r="C70" i="1"/>
  <c r="B70" i="1"/>
  <c r="G69" i="1"/>
  <c r="F69" i="1"/>
  <c r="E69" i="1"/>
  <c r="C69" i="1"/>
  <c r="B69" i="1"/>
  <c r="G68" i="1"/>
  <c r="E68" i="1"/>
  <c r="F68" i="1" s="1"/>
  <c r="C68" i="1"/>
  <c r="B68" i="1"/>
  <c r="Z67" i="1"/>
  <c r="X67" i="1"/>
  <c r="E67" i="1"/>
  <c r="D67" i="1"/>
  <c r="D66" i="1" s="1"/>
  <c r="C67" i="1"/>
  <c r="AE66" i="1"/>
  <c r="AD66" i="1"/>
  <c r="AC66" i="1"/>
  <c r="AB66" i="1"/>
  <c r="AA66" i="1"/>
  <c r="Z66" i="1"/>
  <c r="Y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4" i="1"/>
  <c r="E64" i="1"/>
  <c r="F64" i="1" s="1"/>
  <c r="D64" i="1"/>
  <c r="D58" i="1" s="1"/>
  <c r="C64" i="1"/>
  <c r="C58" i="1" s="1"/>
  <c r="B64" i="1"/>
  <c r="F63" i="1"/>
  <c r="E63" i="1"/>
  <c r="C63" i="1"/>
  <c r="B63" i="1"/>
  <c r="AD62" i="1"/>
  <c r="AD56" i="1" s="1"/>
  <c r="AD54" i="1" s="1"/>
  <c r="AB62" i="1"/>
  <c r="Z62" i="1"/>
  <c r="X62" i="1"/>
  <c r="X56" i="1" s="1"/>
  <c r="V62" i="1"/>
  <c r="V56" i="1" s="1"/>
  <c r="T62" i="1"/>
  <c r="R62" i="1"/>
  <c r="N62" i="1"/>
  <c r="N56" i="1" s="1"/>
  <c r="E62" i="1"/>
  <c r="D62" i="1"/>
  <c r="D56" i="1" s="1"/>
  <c r="AD61" i="1"/>
  <c r="AD60" i="1" s="1"/>
  <c r="AB61" i="1"/>
  <c r="Z61" i="1"/>
  <c r="X61" i="1"/>
  <c r="V61" i="1"/>
  <c r="V60" i="1" s="1"/>
  <c r="T61" i="1"/>
  <c r="R61" i="1"/>
  <c r="E61" i="1"/>
  <c r="D61" i="1"/>
  <c r="AE60" i="1"/>
  <c r="AC60" i="1"/>
  <c r="AB60" i="1"/>
  <c r="AA60" i="1"/>
  <c r="Y60" i="1"/>
  <c r="X60" i="1"/>
  <c r="W60" i="1"/>
  <c r="U60" i="1"/>
  <c r="T60" i="1"/>
  <c r="S60" i="1"/>
  <c r="Q60" i="1"/>
  <c r="P60" i="1"/>
  <c r="O60" i="1"/>
  <c r="M60" i="1"/>
  <c r="L60" i="1"/>
  <c r="K60" i="1"/>
  <c r="J60" i="1"/>
  <c r="I60" i="1"/>
  <c r="H60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F58" i="1"/>
  <c r="E58" i="1"/>
  <c r="G58" i="1" s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E57" i="1" s="1"/>
  <c r="F57" i="1" s="1"/>
  <c r="J57" i="1"/>
  <c r="I57" i="1"/>
  <c r="H57" i="1"/>
  <c r="B57" i="1" s="1"/>
  <c r="C57" i="1"/>
  <c r="AE56" i="1"/>
  <c r="AC56" i="1"/>
  <c r="AC54" i="1" s="1"/>
  <c r="AB56" i="1"/>
  <c r="AA56" i="1"/>
  <c r="Z56" i="1"/>
  <c r="Z130" i="1" s="1"/>
  <c r="Y56" i="1"/>
  <c r="W56" i="1"/>
  <c r="U56" i="1"/>
  <c r="U54" i="1" s="1"/>
  <c r="T56" i="1"/>
  <c r="S56" i="1"/>
  <c r="R56" i="1"/>
  <c r="Q56" i="1"/>
  <c r="Q130" i="1" s="1"/>
  <c r="P56" i="1"/>
  <c r="O56" i="1"/>
  <c r="M56" i="1"/>
  <c r="M54" i="1" s="1"/>
  <c r="L56" i="1"/>
  <c r="K56" i="1"/>
  <c r="J56" i="1"/>
  <c r="J130" i="1" s="1"/>
  <c r="I56" i="1"/>
  <c r="I130" i="1" s="1"/>
  <c r="H56" i="1"/>
  <c r="E56" i="1"/>
  <c r="AE55" i="1"/>
  <c r="AE54" i="1" s="1"/>
  <c r="AD55" i="1"/>
  <c r="AC55" i="1"/>
  <c r="AB55" i="1"/>
  <c r="AB54" i="1" s="1"/>
  <c r="AA55" i="1"/>
  <c r="AA54" i="1" s="1"/>
  <c r="Y55" i="1"/>
  <c r="W55" i="1"/>
  <c r="W54" i="1" s="1"/>
  <c r="V55" i="1"/>
  <c r="U55" i="1"/>
  <c r="T55" i="1"/>
  <c r="T54" i="1" s="1"/>
  <c r="S55" i="1"/>
  <c r="S54" i="1" s="1"/>
  <c r="Q55" i="1"/>
  <c r="P55" i="1"/>
  <c r="P54" i="1" s="1"/>
  <c r="O55" i="1"/>
  <c r="N55" i="1"/>
  <c r="M55" i="1"/>
  <c r="L55" i="1"/>
  <c r="L54" i="1" s="1"/>
  <c r="K55" i="1"/>
  <c r="J55" i="1"/>
  <c r="I55" i="1"/>
  <c r="H55" i="1"/>
  <c r="H54" i="1" s="1"/>
  <c r="Y54" i="1"/>
  <c r="Q54" i="1"/>
  <c r="J54" i="1"/>
  <c r="I54" i="1"/>
  <c r="G52" i="1"/>
  <c r="E52" i="1"/>
  <c r="C52" i="1"/>
  <c r="C46" i="1" s="1"/>
  <c r="B52" i="1"/>
  <c r="B46" i="1" s="1"/>
  <c r="E51" i="1"/>
  <c r="C51" i="1"/>
  <c r="B51" i="1"/>
  <c r="AD50" i="1"/>
  <c r="AB50" i="1"/>
  <c r="AB48" i="1" s="1"/>
  <c r="B48" i="1" s="1"/>
  <c r="Z50" i="1"/>
  <c r="Z44" i="1" s="1"/>
  <c r="V50" i="1"/>
  <c r="R50" i="1"/>
  <c r="G50" i="1"/>
  <c r="E50" i="1"/>
  <c r="D50" i="1" s="1"/>
  <c r="C50" i="1"/>
  <c r="C44" i="1" s="1"/>
  <c r="B50" i="1"/>
  <c r="B44" i="1" s="1"/>
  <c r="E49" i="1"/>
  <c r="D49" i="1"/>
  <c r="C49" i="1"/>
  <c r="B49" i="1"/>
  <c r="AE48" i="1"/>
  <c r="AD48" i="1"/>
  <c r="AC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AE46" i="1"/>
  <c r="AD46" i="1"/>
  <c r="AC46" i="1"/>
  <c r="AB46" i="1"/>
  <c r="AB133" i="1" s="1"/>
  <c r="AA46" i="1"/>
  <c r="Z46" i="1"/>
  <c r="Y46" i="1"/>
  <c r="X46" i="1"/>
  <c r="X133" i="1" s="1"/>
  <c r="W46" i="1"/>
  <c r="V46" i="1"/>
  <c r="U46" i="1"/>
  <c r="T46" i="1"/>
  <c r="T42" i="1" s="1"/>
  <c r="S46" i="1"/>
  <c r="R46" i="1"/>
  <c r="Q46" i="1"/>
  <c r="P46" i="1"/>
  <c r="P133" i="1" s="1"/>
  <c r="O46" i="1"/>
  <c r="N46" i="1"/>
  <c r="M46" i="1"/>
  <c r="L46" i="1"/>
  <c r="L42" i="1" s="1"/>
  <c r="K46" i="1"/>
  <c r="J46" i="1"/>
  <c r="I46" i="1"/>
  <c r="H46" i="1"/>
  <c r="H133" i="1" s="1"/>
  <c r="E46" i="1"/>
  <c r="D46" i="1"/>
  <c r="AE45" i="1"/>
  <c r="AD45" i="1"/>
  <c r="AD132" i="1" s="1"/>
  <c r="AD332" i="1" s="1"/>
  <c r="AC45" i="1"/>
  <c r="AB45" i="1"/>
  <c r="AA45" i="1"/>
  <c r="Z45" i="1"/>
  <c r="Z132" i="1" s="1"/>
  <c r="Y45" i="1"/>
  <c r="X45" i="1"/>
  <c r="W45" i="1"/>
  <c r="V45" i="1"/>
  <c r="V132" i="1" s="1"/>
  <c r="U45" i="1"/>
  <c r="T45" i="1"/>
  <c r="S45" i="1"/>
  <c r="R45" i="1"/>
  <c r="R132" i="1" s="1"/>
  <c r="Q45" i="1"/>
  <c r="P45" i="1"/>
  <c r="O45" i="1"/>
  <c r="N45" i="1"/>
  <c r="N132" i="1" s="1"/>
  <c r="N332" i="1" s="1"/>
  <c r="M45" i="1"/>
  <c r="L45" i="1"/>
  <c r="K45" i="1"/>
  <c r="J45" i="1"/>
  <c r="J132" i="1" s="1"/>
  <c r="I45" i="1"/>
  <c r="H45" i="1"/>
  <c r="D45" i="1"/>
  <c r="C45" i="1"/>
  <c r="B45" i="1"/>
  <c r="AE44" i="1"/>
  <c r="AD44" i="1"/>
  <c r="AC44" i="1"/>
  <c r="AA44" i="1"/>
  <c r="Y44" i="1"/>
  <c r="Y42" i="1" s="1"/>
  <c r="X44" i="1"/>
  <c r="W44" i="1"/>
  <c r="V44" i="1"/>
  <c r="U44" i="1"/>
  <c r="T44" i="1"/>
  <c r="S44" i="1"/>
  <c r="R44" i="1"/>
  <c r="Q44" i="1"/>
  <c r="Q42" i="1" s="1"/>
  <c r="P44" i="1"/>
  <c r="O44" i="1"/>
  <c r="N44" i="1"/>
  <c r="M44" i="1"/>
  <c r="M130" i="1" s="1"/>
  <c r="L44" i="1"/>
  <c r="K44" i="1"/>
  <c r="J44" i="1"/>
  <c r="I44" i="1"/>
  <c r="I42" i="1" s="1"/>
  <c r="H44" i="1"/>
  <c r="E44" i="1"/>
  <c r="D44" i="1"/>
  <c r="AE43" i="1"/>
  <c r="AE42" i="1" s="1"/>
  <c r="AD43" i="1"/>
  <c r="AC43" i="1"/>
  <c r="AB43" i="1"/>
  <c r="AA43" i="1"/>
  <c r="AA42" i="1" s="1"/>
  <c r="Z43" i="1"/>
  <c r="Y43" i="1"/>
  <c r="X43" i="1"/>
  <c r="W43" i="1"/>
  <c r="W42" i="1" s="1"/>
  <c r="V43" i="1"/>
  <c r="U43" i="1"/>
  <c r="T43" i="1"/>
  <c r="S43" i="1"/>
  <c r="S42" i="1" s="1"/>
  <c r="R43" i="1"/>
  <c r="Q43" i="1"/>
  <c r="P43" i="1"/>
  <c r="O43" i="1"/>
  <c r="O42" i="1" s="1"/>
  <c r="N43" i="1"/>
  <c r="M43" i="1"/>
  <c r="L43" i="1"/>
  <c r="K43" i="1"/>
  <c r="K42" i="1" s="1"/>
  <c r="J43" i="1"/>
  <c r="I43" i="1"/>
  <c r="H43" i="1"/>
  <c r="C43" i="1"/>
  <c r="B43" i="1"/>
  <c r="AC42" i="1"/>
  <c r="X42" i="1"/>
  <c r="U42" i="1"/>
  <c r="P42" i="1"/>
  <c r="M42" i="1"/>
  <c r="H42" i="1"/>
  <c r="F40" i="1"/>
  <c r="E40" i="1"/>
  <c r="D40" i="1" s="1"/>
  <c r="C40" i="1"/>
  <c r="G40" i="1" s="1"/>
  <c r="B40" i="1"/>
  <c r="E39" i="1"/>
  <c r="C39" i="1"/>
  <c r="C36" i="1" s="1"/>
  <c r="B39" i="1"/>
  <c r="E38" i="1"/>
  <c r="F38" i="1" s="1"/>
  <c r="C38" i="1"/>
  <c r="B38" i="1"/>
  <c r="G37" i="1"/>
  <c r="F37" i="1"/>
  <c r="E37" i="1"/>
  <c r="C37" i="1"/>
  <c r="B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B36" i="1" s="1"/>
  <c r="D36" i="1"/>
  <c r="E34" i="1"/>
  <c r="G34" i="1" s="1"/>
  <c r="C34" i="1"/>
  <c r="B34" i="1"/>
  <c r="G33" i="1"/>
  <c r="F33" i="1"/>
  <c r="E33" i="1"/>
  <c r="C33" i="1"/>
  <c r="B33" i="1"/>
  <c r="B15" i="1" s="1"/>
  <c r="G32" i="1"/>
  <c r="E32" i="1"/>
  <c r="F32" i="1" s="1"/>
  <c r="C32" i="1"/>
  <c r="B32" i="1"/>
  <c r="E31" i="1"/>
  <c r="C31" i="1"/>
  <c r="C30" i="1" s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B30" i="1" s="1"/>
  <c r="I30" i="1"/>
  <c r="H30" i="1"/>
  <c r="E30" i="1"/>
  <c r="D30" i="1"/>
  <c r="E28" i="1"/>
  <c r="F28" i="1" s="1"/>
  <c r="C28" i="1"/>
  <c r="G28" i="1" s="1"/>
  <c r="B28" i="1"/>
  <c r="E27" i="1"/>
  <c r="C27" i="1"/>
  <c r="C15" i="1" s="1"/>
  <c r="C132" i="1" s="1"/>
  <c r="B27" i="1"/>
  <c r="F26" i="1"/>
  <c r="E26" i="1"/>
  <c r="D26" i="1" s="1"/>
  <c r="D24" i="1" s="1"/>
  <c r="C26" i="1"/>
  <c r="B26" i="1"/>
  <c r="E25" i="1"/>
  <c r="C25" i="1"/>
  <c r="B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E24" i="1"/>
  <c r="B24" i="1"/>
  <c r="G22" i="1"/>
  <c r="E22" i="1"/>
  <c r="D22" i="1"/>
  <c r="C22" i="1"/>
  <c r="B22" i="1"/>
  <c r="F22" i="1" s="1"/>
  <c r="E21" i="1"/>
  <c r="C21" i="1"/>
  <c r="B21" i="1"/>
  <c r="AD20" i="1"/>
  <c r="E20" i="1"/>
  <c r="D20" i="1"/>
  <c r="D14" i="1" s="1"/>
  <c r="C20" i="1"/>
  <c r="G19" i="1"/>
  <c r="F19" i="1"/>
  <c r="E19" i="1"/>
  <c r="E18" i="1" s="1"/>
  <c r="G18" i="1" s="1"/>
  <c r="C19" i="1"/>
  <c r="B19" i="1"/>
  <c r="B13" i="1" s="1"/>
  <c r="AE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C18" i="1"/>
  <c r="AE16" i="1"/>
  <c r="AD16" i="1"/>
  <c r="AD133" i="1" s="1"/>
  <c r="AC16" i="1"/>
  <c r="AC133" i="1" s="1"/>
  <c r="AB16" i="1"/>
  <c r="AA16" i="1"/>
  <c r="Z16" i="1"/>
  <c r="Z133" i="1" s="1"/>
  <c r="Y16" i="1"/>
  <c r="Y133" i="1" s="1"/>
  <c r="X16" i="1"/>
  <c r="W16" i="1"/>
  <c r="V16" i="1"/>
  <c r="V133" i="1" s="1"/>
  <c r="U16" i="1"/>
  <c r="U133" i="1" s="1"/>
  <c r="T16" i="1"/>
  <c r="S16" i="1"/>
  <c r="R16" i="1"/>
  <c r="R133" i="1" s="1"/>
  <c r="Q16" i="1"/>
  <c r="Q133" i="1" s="1"/>
  <c r="P16" i="1"/>
  <c r="O16" i="1"/>
  <c r="N16" i="1"/>
  <c r="N133" i="1" s="1"/>
  <c r="M16" i="1"/>
  <c r="M133" i="1" s="1"/>
  <c r="L16" i="1"/>
  <c r="K16" i="1"/>
  <c r="J16" i="1"/>
  <c r="J133" i="1" s="1"/>
  <c r="I16" i="1"/>
  <c r="I133" i="1" s="1"/>
  <c r="H16" i="1"/>
  <c r="B16" i="1"/>
  <c r="AE15" i="1"/>
  <c r="AE132" i="1" s="1"/>
  <c r="AD15" i="1"/>
  <c r="AC15" i="1"/>
  <c r="AB15" i="1"/>
  <c r="AB132" i="1" s="1"/>
  <c r="AA15" i="1"/>
  <c r="AA132" i="1" s="1"/>
  <c r="Z15" i="1"/>
  <c r="Y15" i="1"/>
  <c r="X15" i="1"/>
  <c r="X132" i="1" s="1"/>
  <c r="W15" i="1"/>
  <c r="W132" i="1" s="1"/>
  <c r="V15" i="1"/>
  <c r="U15" i="1"/>
  <c r="T15" i="1"/>
  <c r="T132" i="1" s="1"/>
  <c r="S15" i="1"/>
  <c r="S132" i="1" s="1"/>
  <c r="R15" i="1"/>
  <c r="Q15" i="1"/>
  <c r="P15" i="1"/>
  <c r="P132" i="1" s="1"/>
  <c r="O15" i="1"/>
  <c r="O132" i="1" s="1"/>
  <c r="N15" i="1"/>
  <c r="M15" i="1"/>
  <c r="L15" i="1"/>
  <c r="L132" i="1" s="1"/>
  <c r="K15" i="1"/>
  <c r="K132" i="1" s="1"/>
  <c r="J15" i="1"/>
  <c r="I15" i="1"/>
  <c r="H15" i="1"/>
  <c r="H132" i="1" s="1"/>
  <c r="B132" i="1" s="1"/>
  <c r="D15" i="1"/>
  <c r="AE14" i="1"/>
  <c r="AD14" i="1"/>
  <c r="AD12" i="1" s="1"/>
  <c r="AC14" i="1"/>
  <c r="AB14" i="1"/>
  <c r="AA14" i="1"/>
  <c r="Z14" i="1"/>
  <c r="Z12" i="1" s="1"/>
  <c r="Y14" i="1"/>
  <c r="X14" i="1"/>
  <c r="W14" i="1"/>
  <c r="V14" i="1"/>
  <c r="V12" i="1" s="1"/>
  <c r="U14" i="1"/>
  <c r="T14" i="1"/>
  <c r="S14" i="1"/>
  <c r="R14" i="1"/>
  <c r="R12" i="1" s="1"/>
  <c r="Q14" i="1"/>
  <c r="P14" i="1"/>
  <c r="O14" i="1"/>
  <c r="N14" i="1"/>
  <c r="N12" i="1" s="1"/>
  <c r="M14" i="1"/>
  <c r="L14" i="1"/>
  <c r="K14" i="1"/>
  <c r="J14" i="1"/>
  <c r="J12" i="1" s="1"/>
  <c r="I14" i="1"/>
  <c r="H14" i="1"/>
  <c r="E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D13" i="1"/>
  <c r="C13" i="1"/>
  <c r="Y12" i="1"/>
  <c r="Q12" i="1"/>
  <c r="I12" i="1"/>
  <c r="D106" i="1" l="1"/>
  <c r="V54" i="1"/>
  <c r="V130" i="1"/>
  <c r="F30" i="1"/>
  <c r="N54" i="1"/>
  <c r="N130" i="1"/>
  <c r="D92" i="1"/>
  <c r="B133" i="1"/>
  <c r="F88" i="1"/>
  <c r="B81" i="1"/>
  <c r="B131" i="1" s="1"/>
  <c r="G138" i="1"/>
  <c r="F138" i="1"/>
  <c r="G140" i="1"/>
  <c r="F140" i="1"/>
  <c r="G51" i="1"/>
  <c r="E45" i="1"/>
  <c r="F51" i="1"/>
  <c r="B67" i="1"/>
  <c r="X66" i="1"/>
  <c r="B66" i="1" s="1"/>
  <c r="R78" i="1"/>
  <c r="M129" i="1"/>
  <c r="M128" i="1" s="1"/>
  <c r="M105" i="1"/>
  <c r="U129" i="1"/>
  <c r="U128" i="1" s="1"/>
  <c r="U105" i="1"/>
  <c r="K129" i="1"/>
  <c r="AA129" i="1"/>
  <c r="AC130" i="1"/>
  <c r="O215" i="1"/>
  <c r="O214" i="1" s="1"/>
  <c r="O149" i="1"/>
  <c r="W215" i="1"/>
  <c r="W214" i="1" s="1"/>
  <c r="W149" i="1"/>
  <c r="D215" i="1"/>
  <c r="R167" i="1"/>
  <c r="R215" i="1"/>
  <c r="R214" i="1" s="1"/>
  <c r="G181" i="1"/>
  <c r="F181" i="1"/>
  <c r="E179" i="1"/>
  <c r="D181" i="1"/>
  <c r="D179" i="1" s="1"/>
  <c r="E169" i="1"/>
  <c r="G191" i="1"/>
  <c r="F191" i="1"/>
  <c r="S332" i="1"/>
  <c r="D12" i="1"/>
  <c r="D18" i="1"/>
  <c r="C16" i="1"/>
  <c r="G31" i="1"/>
  <c r="F31" i="1"/>
  <c r="G39" i="1"/>
  <c r="F39" i="1"/>
  <c r="D55" i="1"/>
  <c r="C62" i="1"/>
  <c r="J129" i="1"/>
  <c r="J128" i="1" s="1"/>
  <c r="J105" i="1"/>
  <c r="R105" i="1"/>
  <c r="Z105" i="1"/>
  <c r="K130" i="1"/>
  <c r="E107" i="1"/>
  <c r="C111" i="1"/>
  <c r="L133" i="1"/>
  <c r="H215" i="1"/>
  <c r="B150" i="1"/>
  <c r="H149" i="1"/>
  <c r="P215" i="1"/>
  <c r="P214" i="1" s="1"/>
  <c r="P149" i="1"/>
  <c r="D275" i="1"/>
  <c r="D268" i="1" s="1"/>
  <c r="G275" i="1"/>
  <c r="F275" i="1"/>
  <c r="E268" i="1"/>
  <c r="P331" i="1"/>
  <c r="B307" i="1"/>
  <c r="B301" i="1"/>
  <c r="F308" i="1"/>
  <c r="M12" i="1"/>
  <c r="AC12" i="1"/>
  <c r="K12" i="1"/>
  <c r="S12" i="1"/>
  <c r="AA12" i="1"/>
  <c r="AD18" i="1"/>
  <c r="B18" i="1" s="1"/>
  <c r="F18" i="1" s="1"/>
  <c r="B20" i="1"/>
  <c r="B14" i="1" s="1"/>
  <c r="F14" i="1" s="1"/>
  <c r="G21" i="1"/>
  <c r="E15" i="1"/>
  <c r="D16" i="1"/>
  <c r="D133" i="1" s="1"/>
  <c r="D333" i="1" s="1"/>
  <c r="G25" i="1"/>
  <c r="F25" i="1"/>
  <c r="E13" i="1"/>
  <c r="G27" i="1"/>
  <c r="F27" i="1"/>
  <c r="F34" i="1"/>
  <c r="C42" i="1"/>
  <c r="G44" i="1"/>
  <c r="F44" i="1"/>
  <c r="AB44" i="1"/>
  <c r="AB42" i="1" s="1"/>
  <c r="C48" i="1"/>
  <c r="D48" i="1"/>
  <c r="D43" i="1"/>
  <c r="D42" i="1" s="1"/>
  <c r="K54" i="1"/>
  <c r="O54" i="1"/>
  <c r="X55" i="1"/>
  <c r="C61" i="1"/>
  <c r="R60" i="1"/>
  <c r="R55" i="1"/>
  <c r="R54" i="1" s="1"/>
  <c r="B61" i="1"/>
  <c r="B55" i="1" s="1"/>
  <c r="Z60" i="1"/>
  <c r="Z55" i="1"/>
  <c r="Z54" i="1" s="1"/>
  <c r="F67" i="1"/>
  <c r="F70" i="1"/>
  <c r="G74" i="1"/>
  <c r="E131" i="1"/>
  <c r="T79" i="1"/>
  <c r="C87" i="1"/>
  <c r="R85" i="1"/>
  <c r="B85" i="1" s="1"/>
  <c r="R80" i="1"/>
  <c r="R130" i="1" s="1"/>
  <c r="B87" i="1"/>
  <c r="F87" i="1" s="1"/>
  <c r="G90" i="1"/>
  <c r="F90" i="1"/>
  <c r="D94" i="1"/>
  <c r="G94" i="1"/>
  <c r="F95" i="1"/>
  <c r="G100" i="1"/>
  <c r="Y99" i="1"/>
  <c r="Y80" i="1"/>
  <c r="Y130" i="1" s="1"/>
  <c r="O105" i="1"/>
  <c r="H130" i="1"/>
  <c r="L130" i="1"/>
  <c r="P130" i="1"/>
  <c r="T130" i="1"/>
  <c r="X130" i="1"/>
  <c r="AB130" i="1"/>
  <c r="G111" i="1"/>
  <c r="G112" i="1"/>
  <c r="F112" i="1"/>
  <c r="E117" i="1"/>
  <c r="G118" i="1"/>
  <c r="O129" i="1"/>
  <c r="O128" i="1" s="1"/>
  <c r="W129" i="1"/>
  <c r="AE129" i="1"/>
  <c r="AE128" i="1" s="1"/>
  <c r="E137" i="1"/>
  <c r="K136" i="1"/>
  <c r="K134" i="1" s="1"/>
  <c r="G144" i="1"/>
  <c r="E142" i="1"/>
  <c r="G145" i="1"/>
  <c r="F145" i="1"/>
  <c r="I149" i="1"/>
  <c r="Q149" i="1"/>
  <c r="Y149" i="1"/>
  <c r="C215" i="1"/>
  <c r="E155" i="1"/>
  <c r="E157" i="1"/>
  <c r="E161" i="1"/>
  <c r="G162" i="1"/>
  <c r="E150" i="1"/>
  <c r="L167" i="1"/>
  <c r="L216" i="1"/>
  <c r="B216" i="1" s="1"/>
  <c r="T167" i="1"/>
  <c r="T216" i="1"/>
  <c r="AB167" i="1"/>
  <c r="AB216" i="1"/>
  <c r="B170" i="1"/>
  <c r="C169" i="1"/>
  <c r="G175" i="1"/>
  <c r="B168" i="1"/>
  <c r="F180" i="1"/>
  <c r="B169" i="1"/>
  <c r="F187" i="1"/>
  <c r="D204" i="1"/>
  <c r="D203" i="1" s="1"/>
  <c r="D210" i="1"/>
  <c r="D209" i="1" s="1"/>
  <c r="I214" i="1"/>
  <c r="AE221" i="1"/>
  <c r="AE323" i="1"/>
  <c r="L326" i="1"/>
  <c r="L221" i="1"/>
  <c r="AB326" i="1"/>
  <c r="AB333" i="1" s="1"/>
  <c r="AB221" i="1"/>
  <c r="B254" i="1"/>
  <c r="R247" i="1"/>
  <c r="R252" i="1"/>
  <c r="G256" i="1"/>
  <c r="E250" i="1"/>
  <c r="F256" i="1"/>
  <c r="E252" i="1"/>
  <c r="K323" i="1"/>
  <c r="I331" i="1"/>
  <c r="Y331" i="1"/>
  <c r="T326" i="1"/>
  <c r="T333" i="1" s="1"/>
  <c r="AG26" i="1"/>
  <c r="C14" i="1"/>
  <c r="C12" i="1" s="1"/>
  <c r="G46" i="1"/>
  <c r="F46" i="1"/>
  <c r="AG67" i="1"/>
  <c r="C66" i="1"/>
  <c r="D73" i="1"/>
  <c r="D72" i="1" s="1"/>
  <c r="G73" i="1"/>
  <c r="E72" i="1"/>
  <c r="C93" i="1"/>
  <c r="C92" i="1" s="1"/>
  <c r="B93" i="1"/>
  <c r="B79" i="1" s="1"/>
  <c r="T92" i="1"/>
  <c r="B92" i="1" s="1"/>
  <c r="B95" i="1"/>
  <c r="T81" i="1"/>
  <c r="T131" i="1" s="1"/>
  <c r="I129" i="1"/>
  <c r="I128" i="1" s="1"/>
  <c r="I105" i="1"/>
  <c r="Q129" i="1"/>
  <c r="Q128" i="1" s="1"/>
  <c r="Q105" i="1"/>
  <c r="Y129" i="1"/>
  <c r="Y105" i="1"/>
  <c r="AC129" i="1"/>
  <c r="AC128" i="1" s="1"/>
  <c r="AC105" i="1"/>
  <c r="AE130" i="1"/>
  <c r="B119" i="1"/>
  <c r="F119" i="1" s="1"/>
  <c r="AD107" i="1"/>
  <c r="AD130" i="1" s="1"/>
  <c r="G126" i="1"/>
  <c r="F126" i="1"/>
  <c r="S129" i="1"/>
  <c r="S128" i="1" s="1"/>
  <c r="K215" i="1"/>
  <c r="K214" i="1" s="1"/>
  <c r="K149" i="1"/>
  <c r="S215" i="1"/>
  <c r="S214" i="1" s="1"/>
  <c r="S149" i="1"/>
  <c r="AA215" i="1"/>
  <c r="AA214" i="1" s="1"/>
  <c r="AA149" i="1"/>
  <c r="AE215" i="1"/>
  <c r="AE214" i="1" s="1"/>
  <c r="AE149" i="1"/>
  <c r="G153" i="1"/>
  <c r="J167" i="1"/>
  <c r="B167" i="1" s="1"/>
  <c r="J215" i="1"/>
  <c r="J214" i="1" s="1"/>
  <c r="Z167" i="1"/>
  <c r="Z215" i="1"/>
  <c r="Z214" i="1" s="1"/>
  <c r="E227" i="1"/>
  <c r="D229" i="1"/>
  <c r="E223" i="1"/>
  <c r="AD330" i="1"/>
  <c r="G20" i="1"/>
  <c r="C24" i="1"/>
  <c r="G24" i="1" s="1"/>
  <c r="G30" i="1"/>
  <c r="G38" i="1"/>
  <c r="E36" i="1"/>
  <c r="G57" i="1"/>
  <c r="G61" i="1"/>
  <c r="F61" i="1"/>
  <c r="E60" i="1"/>
  <c r="E55" i="1"/>
  <c r="B62" i="1"/>
  <c r="B56" i="1" s="1"/>
  <c r="N60" i="1"/>
  <c r="B60" i="1" s="1"/>
  <c r="F73" i="1"/>
  <c r="E80" i="1"/>
  <c r="E106" i="1"/>
  <c r="N129" i="1"/>
  <c r="N105" i="1"/>
  <c r="V129" i="1"/>
  <c r="V105" i="1"/>
  <c r="AD129" i="1"/>
  <c r="AD128" i="1" s="1"/>
  <c r="AD105" i="1"/>
  <c r="W130" i="1"/>
  <c r="AA130" i="1"/>
  <c r="C109" i="1"/>
  <c r="C117" i="1"/>
  <c r="L128" i="1"/>
  <c r="AB129" i="1"/>
  <c r="AB128" i="1" s="1"/>
  <c r="T133" i="1"/>
  <c r="L215" i="1"/>
  <c r="L149" i="1"/>
  <c r="T215" i="1"/>
  <c r="T214" i="1" s="1"/>
  <c r="T149" i="1"/>
  <c r="X215" i="1"/>
  <c r="X214" i="1" s="1"/>
  <c r="X149" i="1"/>
  <c r="AB215" i="1"/>
  <c r="AB214" i="1" s="1"/>
  <c r="AB149" i="1"/>
  <c r="F153" i="1"/>
  <c r="F165" i="1"/>
  <c r="G197" i="1"/>
  <c r="F197" i="1"/>
  <c r="G206" i="1"/>
  <c r="F206" i="1"/>
  <c r="G212" i="1"/>
  <c r="F212" i="1"/>
  <c r="R245" i="1"/>
  <c r="F307" i="1"/>
  <c r="U12" i="1"/>
  <c r="O12" i="1"/>
  <c r="W12" i="1"/>
  <c r="AE12" i="1"/>
  <c r="E16" i="1"/>
  <c r="H12" i="1"/>
  <c r="L12" i="1"/>
  <c r="P12" i="1"/>
  <c r="T12" i="1"/>
  <c r="X12" i="1"/>
  <c r="AB12" i="1"/>
  <c r="AG20" i="1"/>
  <c r="F21" i="1"/>
  <c r="F24" i="1"/>
  <c r="G26" i="1"/>
  <c r="J42" i="1"/>
  <c r="N42" i="1"/>
  <c r="R42" i="1"/>
  <c r="B42" i="1" s="1"/>
  <c r="V42" i="1"/>
  <c r="Z42" i="1"/>
  <c r="AD42" i="1"/>
  <c r="G49" i="1"/>
  <c r="E48" i="1"/>
  <c r="E43" i="1"/>
  <c r="F49" i="1"/>
  <c r="F50" i="1"/>
  <c r="F52" i="1"/>
  <c r="F56" i="1"/>
  <c r="F62" i="1"/>
  <c r="D63" i="1"/>
  <c r="D57" i="1" s="1"/>
  <c r="D132" i="1" s="1"/>
  <c r="G63" i="1"/>
  <c r="E66" i="1"/>
  <c r="G67" i="1"/>
  <c r="F76" i="1"/>
  <c r="D86" i="1"/>
  <c r="G86" i="1"/>
  <c r="E85" i="1"/>
  <c r="C81" i="1"/>
  <c r="C131" i="1" s="1"/>
  <c r="G93" i="1"/>
  <c r="E92" i="1"/>
  <c r="F93" i="1"/>
  <c r="F94" i="1"/>
  <c r="G96" i="1"/>
  <c r="E82" i="1"/>
  <c r="G97" i="1"/>
  <c r="F97" i="1"/>
  <c r="F100" i="1"/>
  <c r="B101" i="1"/>
  <c r="P99" i="1"/>
  <c r="B99" i="1" s="1"/>
  <c r="U99" i="1"/>
  <c r="E101" i="1"/>
  <c r="U80" i="1"/>
  <c r="U130" i="1" s="1"/>
  <c r="H105" i="1"/>
  <c r="B105" i="1" s="1"/>
  <c r="B106" i="1"/>
  <c r="F109" i="1"/>
  <c r="B107" i="1"/>
  <c r="F113" i="1"/>
  <c r="G115" i="1"/>
  <c r="F115" i="1"/>
  <c r="G121" i="1"/>
  <c r="F121" i="1"/>
  <c r="G124" i="1"/>
  <c r="E123" i="1"/>
  <c r="F124" i="1"/>
  <c r="D126" i="1"/>
  <c r="D108" i="1" s="1"/>
  <c r="F127" i="1"/>
  <c r="H129" i="1"/>
  <c r="P129" i="1"/>
  <c r="P128" i="1" s="1"/>
  <c r="B137" i="1"/>
  <c r="H136" i="1"/>
  <c r="F144" i="1"/>
  <c r="J149" i="1"/>
  <c r="R149" i="1"/>
  <c r="Z149" i="1"/>
  <c r="N215" i="1"/>
  <c r="N214" i="1" s="1"/>
  <c r="V215" i="1"/>
  <c r="V214" i="1" s="1"/>
  <c r="AD215" i="1"/>
  <c r="AD214" i="1" s="1"/>
  <c r="AA155" i="1"/>
  <c r="C157" i="1"/>
  <c r="Z155" i="1"/>
  <c r="B155" i="1" s="1"/>
  <c r="B157" i="1"/>
  <c r="G158" i="1"/>
  <c r="E152" i="1"/>
  <c r="G159" i="1"/>
  <c r="F159" i="1"/>
  <c r="F162" i="1"/>
  <c r="D193" i="1"/>
  <c r="G203" i="1"/>
  <c r="F203" i="1"/>
  <c r="G209" i="1"/>
  <c r="F209" i="1"/>
  <c r="Q214" i="1"/>
  <c r="C252" i="1"/>
  <c r="C247" i="1"/>
  <c r="C245" i="1" s="1"/>
  <c r="G254" i="1"/>
  <c r="U333" i="1"/>
  <c r="G283" i="1"/>
  <c r="F283" i="1"/>
  <c r="D283" i="1"/>
  <c r="D279" i="1" s="1"/>
  <c r="E279" i="1"/>
  <c r="B314" i="1"/>
  <c r="F315" i="1"/>
  <c r="M167" i="1"/>
  <c r="Q167" i="1"/>
  <c r="Y167" i="1"/>
  <c r="E173" i="1"/>
  <c r="G174" i="1"/>
  <c r="D260" i="1"/>
  <c r="D247" i="1" s="1"/>
  <c r="G260" i="1"/>
  <c r="E247" i="1"/>
  <c r="K325" i="1"/>
  <c r="K332" i="1" s="1"/>
  <c r="K265" i="1"/>
  <c r="V332" i="1"/>
  <c r="Q326" i="1"/>
  <c r="Q333" i="1" s="1"/>
  <c r="Y326" i="1"/>
  <c r="Y333" i="1" s="1"/>
  <c r="D169" i="1"/>
  <c r="D167" i="1" s="1"/>
  <c r="F174" i="1"/>
  <c r="F186" i="1"/>
  <c r="D187" i="1"/>
  <c r="D185" i="1" s="1"/>
  <c r="G187" i="1"/>
  <c r="G188" i="1"/>
  <c r="F188" i="1"/>
  <c r="G193" i="1"/>
  <c r="G199" i="1"/>
  <c r="G204" i="1"/>
  <c r="G207" i="1"/>
  <c r="G210" i="1"/>
  <c r="G213" i="1"/>
  <c r="V227" i="1"/>
  <c r="G235" i="1"/>
  <c r="E233" i="1"/>
  <c r="F235" i="1"/>
  <c r="D235" i="1"/>
  <c r="D233" i="1" s="1"/>
  <c r="B258" i="1"/>
  <c r="B246" i="1"/>
  <c r="F260" i="1"/>
  <c r="J268" i="1"/>
  <c r="J324" i="1" s="1"/>
  <c r="J331" i="1" s="1"/>
  <c r="M326" i="1"/>
  <c r="M333" i="1" s="1"/>
  <c r="I272" i="1"/>
  <c r="I266" i="1"/>
  <c r="I265" i="1" s="1"/>
  <c r="M272" i="1"/>
  <c r="E273" i="1"/>
  <c r="M266" i="1"/>
  <c r="Q272" i="1"/>
  <c r="Q266" i="1"/>
  <c r="Q265" i="1" s="1"/>
  <c r="U272" i="1"/>
  <c r="U266" i="1"/>
  <c r="U265" i="1" s="1"/>
  <c r="Y272" i="1"/>
  <c r="Y266" i="1"/>
  <c r="Y265" i="1" s="1"/>
  <c r="AC272" i="1"/>
  <c r="AC266" i="1"/>
  <c r="D267" i="1"/>
  <c r="E276" i="1"/>
  <c r="O272" i="1"/>
  <c r="D288" i="1"/>
  <c r="G288" i="1"/>
  <c r="E286" i="1"/>
  <c r="V323" i="1"/>
  <c r="E324" i="1"/>
  <c r="O325" i="1"/>
  <c r="O332" i="1" s="1"/>
  <c r="W325" i="1"/>
  <c r="W332" i="1" s="1"/>
  <c r="AE325" i="1"/>
  <c r="AE332" i="1" s="1"/>
  <c r="J333" i="1"/>
  <c r="N326" i="1"/>
  <c r="N333" i="1" s="1"/>
  <c r="N300" i="1"/>
  <c r="R333" i="1"/>
  <c r="V326" i="1"/>
  <c r="V333" i="1" s="1"/>
  <c r="V300" i="1"/>
  <c r="Z326" i="1"/>
  <c r="Z333" i="1" s="1"/>
  <c r="AD326" i="1"/>
  <c r="AD333" i="1" s="1"/>
  <c r="AD300" i="1"/>
  <c r="D307" i="1"/>
  <c r="G310" i="1"/>
  <c r="G303" i="1" s="1"/>
  <c r="F310" i="1"/>
  <c r="F303" i="1" s="1"/>
  <c r="D310" i="1"/>
  <c r="D303" i="1" s="1"/>
  <c r="D324" i="1" s="1"/>
  <c r="D331" i="1" s="1"/>
  <c r="G316" i="1"/>
  <c r="F316" i="1"/>
  <c r="D316" i="1"/>
  <c r="D314" i="1" s="1"/>
  <c r="E314" i="1"/>
  <c r="L329" i="1"/>
  <c r="L321" i="1"/>
  <c r="I167" i="1"/>
  <c r="U167" i="1"/>
  <c r="AC167" i="1"/>
  <c r="C185" i="1"/>
  <c r="C229" i="1"/>
  <c r="B229" i="1"/>
  <c r="N227" i="1"/>
  <c r="C239" i="1"/>
  <c r="G241" i="1"/>
  <c r="G259" i="1"/>
  <c r="E258" i="1"/>
  <c r="E246" i="1"/>
  <c r="F259" i="1"/>
  <c r="D259" i="1"/>
  <c r="D262" i="1"/>
  <c r="D249" i="1" s="1"/>
  <c r="G262" i="1"/>
  <c r="F262" i="1"/>
  <c r="E249" i="1"/>
  <c r="AA325" i="1"/>
  <c r="AA332" i="1" s="1"/>
  <c r="AA265" i="1"/>
  <c r="G293" i="1"/>
  <c r="F293" i="1"/>
  <c r="D300" i="1"/>
  <c r="I326" i="1"/>
  <c r="I333" i="1" s="1"/>
  <c r="C307" i="1"/>
  <c r="G307" i="1" s="1"/>
  <c r="C301" i="1"/>
  <c r="E171" i="1"/>
  <c r="E218" i="1" s="1"/>
  <c r="G177" i="1"/>
  <c r="F182" i="1"/>
  <c r="G185" i="1"/>
  <c r="F185" i="1"/>
  <c r="G186" i="1"/>
  <c r="N223" i="1"/>
  <c r="G225" i="1"/>
  <c r="F225" i="1"/>
  <c r="AC326" i="1"/>
  <c r="AC333" i="1" s="1"/>
  <c r="B272" i="1"/>
  <c r="B266" i="1"/>
  <c r="D290" i="1"/>
  <c r="G290" i="1"/>
  <c r="F290" i="1"/>
  <c r="C293" i="1"/>
  <c r="C266" i="1"/>
  <c r="G294" i="1"/>
  <c r="J323" i="1"/>
  <c r="J330" i="1" s="1"/>
  <c r="S323" i="1"/>
  <c r="S330" i="1" s="1"/>
  <c r="W323" i="1"/>
  <c r="W300" i="1"/>
  <c r="AA323" i="1"/>
  <c r="AA330" i="1" s="1"/>
  <c r="H331" i="1"/>
  <c r="T331" i="1"/>
  <c r="X331" i="1"/>
  <c r="H332" i="1"/>
  <c r="L332" i="1"/>
  <c r="P332" i="1"/>
  <c r="T332" i="1"/>
  <c r="X332" i="1"/>
  <c r="AB332" i="1"/>
  <c r="B326" i="1"/>
  <c r="F305" i="1"/>
  <c r="G308" i="1"/>
  <c r="C309" i="1"/>
  <c r="C302" i="1" s="1"/>
  <c r="L302" i="1"/>
  <c r="L323" i="1" s="1"/>
  <c r="G315" i="1"/>
  <c r="O323" i="1"/>
  <c r="O330" i="1" s="1"/>
  <c r="R332" i="1"/>
  <c r="F241" i="1"/>
  <c r="F274" i="1"/>
  <c r="E267" i="1"/>
  <c r="B269" i="1"/>
  <c r="B325" i="1" s="1"/>
  <c r="B332" i="1" s="1"/>
  <c r="F280" i="1"/>
  <c r="C286" i="1"/>
  <c r="D295" i="1"/>
  <c r="G295" i="1"/>
  <c r="H322" i="1"/>
  <c r="H300" i="1"/>
  <c r="L300" i="1"/>
  <c r="P322" i="1"/>
  <c r="P300" i="1"/>
  <c r="T300" i="1"/>
  <c r="X322" i="1"/>
  <c r="X300" i="1"/>
  <c r="AB300" i="1"/>
  <c r="M324" i="1"/>
  <c r="M331" i="1" s="1"/>
  <c r="U324" i="1"/>
  <c r="U331" i="1" s="1"/>
  <c r="AC324" i="1"/>
  <c r="AC331" i="1" s="1"/>
  <c r="I325" i="1"/>
  <c r="I332" i="1" s="1"/>
  <c r="M325" i="1"/>
  <c r="M332" i="1" s="1"/>
  <c r="Q325" i="1"/>
  <c r="Q332" i="1" s="1"/>
  <c r="U325" i="1"/>
  <c r="U332" i="1" s="1"/>
  <c r="Y325" i="1"/>
  <c r="Y332" i="1" s="1"/>
  <c r="AC325" i="1"/>
  <c r="AC332" i="1" s="1"/>
  <c r="C326" i="1"/>
  <c r="G305" i="1"/>
  <c r="K326" i="1"/>
  <c r="K333" i="1" s="1"/>
  <c r="O326" i="1"/>
  <c r="O333" i="1" s="1"/>
  <c r="S326" i="1"/>
  <c r="S333" i="1" s="1"/>
  <c r="W326" i="1"/>
  <c r="W333" i="1" s="1"/>
  <c r="AA326" i="1"/>
  <c r="AA333" i="1" s="1"/>
  <c r="AE326" i="1"/>
  <c r="AE333" i="1" s="1"/>
  <c r="G309" i="1"/>
  <c r="E302" i="1"/>
  <c r="F309" i="1"/>
  <c r="T322" i="1"/>
  <c r="J332" i="1"/>
  <c r="Z332" i="1"/>
  <c r="G239" i="1"/>
  <c r="F239" i="1"/>
  <c r="F254" i="1"/>
  <c r="Z265" i="1"/>
  <c r="AD265" i="1"/>
  <c r="B267" i="1"/>
  <c r="C276" i="1"/>
  <c r="G280" i="1"/>
  <c r="G281" i="1"/>
  <c r="F281" i="1"/>
  <c r="D286" i="1"/>
  <c r="F295" i="1"/>
  <c r="D297" i="1"/>
  <c r="D293" i="1" s="1"/>
  <c r="G297" i="1"/>
  <c r="G298" i="1"/>
  <c r="F298" i="1"/>
  <c r="I322" i="1"/>
  <c r="I300" i="1"/>
  <c r="M300" i="1"/>
  <c r="Q300" i="1"/>
  <c r="U300" i="1"/>
  <c r="Y300" i="1"/>
  <c r="AC300" i="1"/>
  <c r="R323" i="1"/>
  <c r="R330" i="1" s="1"/>
  <c r="Z323" i="1"/>
  <c r="Z330" i="1" s="1"/>
  <c r="H326" i="1"/>
  <c r="H333" i="1" s="1"/>
  <c r="P326" i="1"/>
  <c r="P333" i="1" s="1"/>
  <c r="X326" i="1"/>
  <c r="X333" i="1" s="1"/>
  <c r="B309" i="1"/>
  <c r="B302" i="1" s="1"/>
  <c r="J307" i="1"/>
  <c r="F311" i="1"/>
  <c r="U322" i="1"/>
  <c r="J322" i="1"/>
  <c r="N322" i="1"/>
  <c r="R322" i="1"/>
  <c r="V322" i="1"/>
  <c r="Z322" i="1"/>
  <c r="AD322" i="1"/>
  <c r="H323" i="1"/>
  <c r="H330" i="1" s="1"/>
  <c r="P323" i="1"/>
  <c r="T323" i="1"/>
  <c r="T330" i="1" s="1"/>
  <c r="X323" i="1"/>
  <c r="X330" i="1" s="1"/>
  <c r="AB323" i="1"/>
  <c r="AB330" i="1" s="1"/>
  <c r="B324" i="1"/>
  <c r="N324" i="1"/>
  <c r="N331" i="1" s="1"/>
  <c r="R324" i="1"/>
  <c r="R331" i="1" s="1"/>
  <c r="V324" i="1"/>
  <c r="V331" i="1" s="1"/>
  <c r="Z324" i="1"/>
  <c r="Z331" i="1" s="1"/>
  <c r="AD324" i="1"/>
  <c r="AD331" i="1" s="1"/>
  <c r="K322" i="1"/>
  <c r="O322" i="1"/>
  <c r="S322" i="1"/>
  <c r="W322" i="1"/>
  <c r="AA322" i="1"/>
  <c r="AE322" i="1"/>
  <c r="I323" i="1"/>
  <c r="I330" i="1" s="1"/>
  <c r="M323" i="1"/>
  <c r="M330" i="1" s="1"/>
  <c r="Q323" i="1"/>
  <c r="Q330" i="1" s="1"/>
  <c r="U323" i="1"/>
  <c r="Y323" i="1"/>
  <c r="AC323" i="1"/>
  <c r="AC330" i="1" s="1"/>
  <c r="C324" i="1"/>
  <c r="C331" i="1" s="1"/>
  <c r="K324" i="1"/>
  <c r="K331" i="1" s="1"/>
  <c r="O324" i="1"/>
  <c r="O331" i="1" s="1"/>
  <c r="S324" i="1"/>
  <c r="S331" i="1" s="1"/>
  <c r="W324" i="1"/>
  <c r="W331" i="1" s="1"/>
  <c r="AA324" i="1"/>
  <c r="AA331" i="1" s="1"/>
  <c r="AE324" i="1"/>
  <c r="AE331" i="1" s="1"/>
  <c r="I329" i="1" l="1"/>
  <c r="I328" i="1" s="1"/>
  <c r="I321" i="1"/>
  <c r="T329" i="1"/>
  <c r="T328" i="1" s="1"/>
  <c r="T321" i="1"/>
  <c r="B223" i="1"/>
  <c r="B227" i="1"/>
  <c r="F227" i="1" s="1"/>
  <c r="F276" i="1"/>
  <c r="E269" i="1"/>
  <c r="G276" i="1"/>
  <c r="D276" i="1"/>
  <c r="D269" i="1" s="1"/>
  <c r="D325" i="1" s="1"/>
  <c r="D332" i="1" s="1"/>
  <c r="AB321" i="1"/>
  <c r="C151" i="1"/>
  <c r="C149" i="1" s="1"/>
  <c r="C155" i="1"/>
  <c r="F60" i="1"/>
  <c r="F150" i="1"/>
  <c r="G150" i="1"/>
  <c r="F142" i="1"/>
  <c r="G142" i="1"/>
  <c r="B322" i="1"/>
  <c r="B300" i="1"/>
  <c r="C56" i="1"/>
  <c r="G56" i="1" s="1"/>
  <c r="G62" i="1"/>
  <c r="AA128" i="1"/>
  <c r="Y330" i="1"/>
  <c r="S329" i="1"/>
  <c r="S328" i="1" s="1"/>
  <c r="S321" i="1"/>
  <c r="AD329" i="1"/>
  <c r="AD328" i="1" s="1"/>
  <c r="AD321" i="1"/>
  <c r="F301" i="1"/>
  <c r="H128" i="1"/>
  <c r="F82" i="1"/>
  <c r="G82" i="1"/>
  <c r="V128" i="1"/>
  <c r="F36" i="1"/>
  <c r="G36" i="1"/>
  <c r="F20" i="1"/>
  <c r="G252" i="1"/>
  <c r="G117" i="1"/>
  <c r="F117" i="1"/>
  <c r="T129" i="1"/>
  <c r="T128" i="1" s="1"/>
  <c r="T78" i="1"/>
  <c r="U78" i="1"/>
  <c r="F13" i="1"/>
  <c r="G13" i="1"/>
  <c r="E12" i="1"/>
  <c r="G169" i="1"/>
  <c r="F169" i="1"/>
  <c r="F45" i="1"/>
  <c r="G45" i="1"/>
  <c r="U330" i="1"/>
  <c r="AE329" i="1"/>
  <c r="AE321" i="1"/>
  <c r="O329" i="1"/>
  <c r="O328" i="1" s="1"/>
  <c r="O321" i="1"/>
  <c r="Z321" i="1"/>
  <c r="J329" i="1"/>
  <c r="J328" i="1" s="1"/>
  <c r="J321" i="1"/>
  <c r="Y322" i="1"/>
  <c r="C269" i="1"/>
  <c r="C325" i="1" s="1"/>
  <c r="C332" i="1" s="1"/>
  <c r="C272" i="1"/>
  <c r="E323" i="1"/>
  <c r="F302" i="1"/>
  <c r="G302" i="1"/>
  <c r="P329" i="1"/>
  <c r="P328" i="1" s="1"/>
  <c r="P321" i="1"/>
  <c r="L330" i="1"/>
  <c r="L328" i="1" s="1"/>
  <c r="B333" i="1"/>
  <c r="W330" i="1"/>
  <c r="G246" i="1"/>
  <c r="F246" i="1"/>
  <c r="E245" i="1"/>
  <c r="E215" i="1"/>
  <c r="G314" i="1"/>
  <c r="F314" i="1"/>
  <c r="G324" i="1"/>
  <c r="F324" i="1"/>
  <c r="E331" i="1"/>
  <c r="E300" i="1"/>
  <c r="AC265" i="1"/>
  <c r="AC322" i="1"/>
  <c r="M265" i="1"/>
  <c r="M322" i="1"/>
  <c r="F233" i="1"/>
  <c r="G233" i="1"/>
  <c r="B136" i="1"/>
  <c r="H134" i="1"/>
  <c r="B134" i="1" s="1"/>
  <c r="F101" i="1"/>
  <c r="G101" i="1"/>
  <c r="D101" i="1"/>
  <c r="D99" i="1" s="1"/>
  <c r="D79" i="1"/>
  <c r="D85" i="1"/>
  <c r="G66" i="1"/>
  <c r="F66" i="1"/>
  <c r="F43" i="1"/>
  <c r="G43" i="1"/>
  <c r="E42" i="1"/>
  <c r="B12" i="1"/>
  <c r="L214" i="1"/>
  <c r="D227" i="1"/>
  <c r="D223" i="1"/>
  <c r="G161" i="1"/>
  <c r="F161" i="1"/>
  <c r="G81" i="1"/>
  <c r="C60" i="1"/>
  <c r="AG60" i="1" s="1"/>
  <c r="C55" i="1"/>
  <c r="C54" i="1" s="1"/>
  <c r="F15" i="1"/>
  <c r="G15" i="1"/>
  <c r="E132" i="1"/>
  <c r="B149" i="1"/>
  <c r="Z129" i="1"/>
  <c r="Z128" i="1" s="1"/>
  <c r="C133" i="1"/>
  <c r="C333" i="1" s="1"/>
  <c r="D123" i="1"/>
  <c r="W329" i="1"/>
  <c r="W328" i="1" s="1"/>
  <c r="W321" i="1"/>
  <c r="R329" i="1"/>
  <c r="R328" i="1" s="1"/>
  <c r="R321" i="1"/>
  <c r="N221" i="1"/>
  <c r="B221" i="1" s="1"/>
  <c r="N323" i="1"/>
  <c r="N330" i="1" s="1"/>
  <c r="G249" i="1"/>
  <c r="F249" i="1"/>
  <c r="D258" i="1"/>
  <c r="D246" i="1"/>
  <c r="D245" i="1" s="1"/>
  <c r="G286" i="1"/>
  <c r="F286" i="1"/>
  <c r="D191" i="1"/>
  <c r="F152" i="1"/>
  <c r="G152" i="1"/>
  <c r="F85" i="1"/>
  <c r="E129" i="1"/>
  <c r="G106" i="1"/>
  <c r="E105" i="1"/>
  <c r="F106" i="1"/>
  <c r="F155" i="1"/>
  <c r="G155" i="1"/>
  <c r="C80" i="1"/>
  <c r="C130" i="1" s="1"/>
  <c r="C85" i="1"/>
  <c r="G85" i="1" s="1"/>
  <c r="Y78" i="1"/>
  <c r="X54" i="1"/>
  <c r="X129" i="1"/>
  <c r="X128" i="1" s="1"/>
  <c r="B215" i="1"/>
  <c r="H214" i="1"/>
  <c r="B214" i="1" s="1"/>
  <c r="R129" i="1"/>
  <c r="R128" i="1" s="1"/>
  <c r="N329" i="1"/>
  <c r="N328" i="1" s="1"/>
  <c r="N321" i="1"/>
  <c r="Q322" i="1"/>
  <c r="H329" i="1"/>
  <c r="H328" i="1" s="1"/>
  <c r="H321" i="1"/>
  <c r="C227" i="1"/>
  <c r="G227" i="1" s="1"/>
  <c r="C223" i="1"/>
  <c r="C221" i="1" s="1"/>
  <c r="G123" i="1"/>
  <c r="F123" i="1"/>
  <c r="F92" i="1"/>
  <c r="G92" i="1"/>
  <c r="G80" i="1"/>
  <c r="F223" i="1"/>
  <c r="G223" i="1"/>
  <c r="E221" i="1"/>
  <c r="G229" i="1"/>
  <c r="Y128" i="1"/>
  <c r="F72" i="1"/>
  <c r="G72" i="1"/>
  <c r="AE330" i="1"/>
  <c r="W128" i="1"/>
  <c r="B80" i="1"/>
  <c r="B78" i="1" s="1"/>
  <c r="D54" i="1"/>
  <c r="K128" i="1"/>
  <c r="B54" i="1"/>
  <c r="AA329" i="1"/>
  <c r="AA328" i="1" s="1"/>
  <c r="AA321" i="1"/>
  <c r="K329" i="1"/>
  <c r="K321" i="1"/>
  <c r="B331" i="1"/>
  <c r="P330" i="1"/>
  <c r="V329" i="1"/>
  <c r="V321" i="1"/>
  <c r="U329" i="1"/>
  <c r="U328" i="1" s="1"/>
  <c r="U321" i="1"/>
  <c r="X321" i="1"/>
  <c r="X329" i="1"/>
  <c r="X328" i="1" s="1"/>
  <c r="F267" i="1"/>
  <c r="G267" i="1"/>
  <c r="B265" i="1"/>
  <c r="C322" i="1"/>
  <c r="C300" i="1"/>
  <c r="G258" i="1"/>
  <c r="F258" i="1"/>
  <c r="E167" i="1"/>
  <c r="V330" i="1"/>
  <c r="G301" i="1"/>
  <c r="D273" i="1"/>
  <c r="G273" i="1"/>
  <c r="E272" i="1"/>
  <c r="F273" i="1"/>
  <c r="E266" i="1"/>
  <c r="G247" i="1"/>
  <c r="F173" i="1"/>
  <c r="G173" i="1"/>
  <c r="AB329" i="1"/>
  <c r="AB328" i="1" s="1"/>
  <c r="G279" i="1"/>
  <c r="F279" i="1"/>
  <c r="F81" i="1"/>
  <c r="F48" i="1"/>
  <c r="G48" i="1"/>
  <c r="E133" i="1"/>
  <c r="G16" i="1"/>
  <c r="F16" i="1"/>
  <c r="G109" i="1"/>
  <c r="C105" i="1"/>
  <c r="N128" i="1"/>
  <c r="G87" i="1"/>
  <c r="F55" i="1"/>
  <c r="G55" i="1"/>
  <c r="E54" i="1"/>
  <c r="F229" i="1"/>
  <c r="E78" i="1"/>
  <c r="G14" i="1"/>
  <c r="K330" i="1"/>
  <c r="G250" i="1"/>
  <c r="F250" i="1"/>
  <c r="E326" i="1"/>
  <c r="B252" i="1"/>
  <c r="F252" i="1" s="1"/>
  <c r="B247" i="1"/>
  <c r="B323" i="1" s="1"/>
  <c r="L333" i="1"/>
  <c r="C167" i="1"/>
  <c r="C216" i="1"/>
  <c r="C214" i="1" s="1"/>
  <c r="G157" i="1"/>
  <c r="F157" i="1"/>
  <c r="D157" i="1"/>
  <c r="E151" i="1"/>
  <c r="F137" i="1"/>
  <c r="G137" i="1"/>
  <c r="E136" i="1"/>
  <c r="E99" i="1"/>
  <c r="F131" i="1"/>
  <c r="G131" i="1"/>
  <c r="G268" i="1"/>
  <c r="F268" i="1"/>
  <c r="F107" i="1"/>
  <c r="G107" i="1"/>
  <c r="E130" i="1"/>
  <c r="C79" i="1"/>
  <c r="F179" i="1"/>
  <c r="G179" i="1"/>
  <c r="D60" i="1"/>
  <c r="F79" i="1"/>
  <c r="D129" i="1"/>
  <c r="D105" i="1"/>
  <c r="G151" i="1" l="1"/>
  <c r="F151" i="1"/>
  <c r="G54" i="1"/>
  <c r="F54" i="1"/>
  <c r="D266" i="1"/>
  <c r="D272" i="1"/>
  <c r="E128" i="1"/>
  <c r="G132" i="1"/>
  <c r="F132" i="1"/>
  <c r="M329" i="1"/>
  <c r="M328" i="1" s="1"/>
  <c r="M321" i="1"/>
  <c r="B321" i="1"/>
  <c r="G60" i="1"/>
  <c r="D151" i="1"/>
  <c r="D155" i="1"/>
  <c r="G326" i="1"/>
  <c r="F326" i="1"/>
  <c r="E333" i="1"/>
  <c r="D221" i="1"/>
  <c r="D323" i="1"/>
  <c r="F78" i="1"/>
  <c r="F247" i="1"/>
  <c r="F272" i="1"/>
  <c r="G272" i="1"/>
  <c r="V328" i="1"/>
  <c r="K328" i="1"/>
  <c r="F105" i="1"/>
  <c r="G105" i="1"/>
  <c r="AC321" i="1"/>
  <c r="AC329" i="1"/>
  <c r="AC328" i="1" s="1"/>
  <c r="E214" i="1"/>
  <c r="C265" i="1"/>
  <c r="E216" i="1"/>
  <c r="Y321" i="1"/>
  <c r="Y329" i="1"/>
  <c r="Y328" i="1" s="1"/>
  <c r="B128" i="1"/>
  <c r="C129" i="1"/>
  <c r="C128" i="1" s="1"/>
  <c r="C78" i="1"/>
  <c r="G78" i="1" s="1"/>
  <c r="G79" i="1"/>
  <c r="G99" i="1"/>
  <c r="F99" i="1"/>
  <c r="G266" i="1"/>
  <c r="E265" i="1"/>
  <c r="F266" i="1"/>
  <c r="E322" i="1"/>
  <c r="Q329" i="1"/>
  <c r="Q328" i="1" s="1"/>
  <c r="Q321" i="1"/>
  <c r="G300" i="1"/>
  <c r="F300" i="1"/>
  <c r="E149" i="1"/>
  <c r="G130" i="1"/>
  <c r="G136" i="1"/>
  <c r="F136" i="1"/>
  <c r="E134" i="1"/>
  <c r="F133" i="1"/>
  <c r="G133" i="1"/>
  <c r="C323" i="1"/>
  <c r="C330" i="1" s="1"/>
  <c r="G42" i="1"/>
  <c r="F42" i="1"/>
  <c r="G331" i="1"/>
  <c r="F331" i="1"/>
  <c r="G12" i="1"/>
  <c r="F12" i="1"/>
  <c r="G167" i="1"/>
  <c r="F167" i="1"/>
  <c r="C329" i="1"/>
  <c r="G221" i="1"/>
  <c r="F221" i="1"/>
  <c r="F80" i="1"/>
  <c r="B130" i="1"/>
  <c r="B330" i="1" s="1"/>
  <c r="B245" i="1"/>
  <c r="F245" i="1" s="1"/>
  <c r="G245" i="1"/>
  <c r="E330" i="1"/>
  <c r="G323" i="1"/>
  <c r="F323" i="1"/>
  <c r="Z329" i="1"/>
  <c r="Z328" i="1" s="1"/>
  <c r="AE328" i="1"/>
  <c r="B129" i="1"/>
  <c r="B329" i="1" s="1"/>
  <c r="B328" i="1" s="1"/>
  <c r="F269" i="1"/>
  <c r="G269" i="1"/>
  <c r="E325" i="1"/>
  <c r="D80" i="1"/>
  <c r="D130" i="1" s="1"/>
  <c r="D128" i="1" s="1"/>
  <c r="F265" i="1" l="1"/>
  <c r="G265" i="1"/>
  <c r="F129" i="1"/>
  <c r="E332" i="1"/>
  <c r="G325" i="1"/>
  <c r="F325" i="1"/>
  <c r="G330" i="1"/>
  <c r="F330" i="1"/>
  <c r="D78" i="1"/>
  <c r="C321" i="1"/>
  <c r="G322" i="1"/>
  <c r="F322" i="1"/>
  <c r="E329" i="1"/>
  <c r="E321" i="1"/>
  <c r="F216" i="1"/>
  <c r="G216" i="1"/>
  <c r="G333" i="1"/>
  <c r="F333" i="1"/>
  <c r="D149" i="1"/>
  <c r="D216" i="1"/>
  <c r="D214" i="1" s="1"/>
  <c r="G128" i="1"/>
  <c r="F128" i="1"/>
  <c r="D265" i="1"/>
  <c r="D322" i="1"/>
  <c r="G214" i="1"/>
  <c r="F214" i="1"/>
  <c r="G149" i="1"/>
  <c r="F149" i="1"/>
  <c r="C328" i="1"/>
  <c r="F130" i="1"/>
  <c r="G129" i="1"/>
  <c r="G321" i="1" l="1"/>
  <c r="F321" i="1"/>
  <c r="D329" i="1"/>
  <c r="D321" i="1"/>
  <c r="G332" i="1"/>
  <c r="F332" i="1"/>
  <c r="D330" i="1"/>
  <c r="G329" i="1"/>
  <c r="E328" i="1"/>
  <c r="F329" i="1"/>
  <c r="D328" i="1" l="1"/>
  <c r="G328" i="1"/>
  <c r="F328" i="1"/>
  <c r="H33" i="2" l="1"/>
  <c r="H32" i="2"/>
  <c r="H31" i="2"/>
  <c r="F33" i="2"/>
  <c r="E33" i="2"/>
  <c r="F32" i="2"/>
  <c r="E32" i="2"/>
  <c r="F31" i="2"/>
  <c r="E31" i="2"/>
  <c r="D33" i="2"/>
  <c r="D32" i="2"/>
  <c r="D31" i="2"/>
  <c r="H30" i="2"/>
  <c r="F30" i="2"/>
  <c r="E30" i="2"/>
  <c r="D30" i="2"/>
  <c r="G30" i="2" s="1"/>
  <c r="J29" i="2"/>
  <c r="I29" i="2"/>
  <c r="G29" i="2"/>
  <c r="J28" i="2"/>
  <c r="I28" i="2"/>
  <c r="G28" i="2"/>
  <c r="J27" i="2"/>
  <c r="G27" i="2"/>
  <c r="H26" i="2"/>
  <c r="F26" i="2"/>
  <c r="E26" i="2"/>
  <c r="D26" i="2"/>
  <c r="G26" i="2" s="1"/>
  <c r="J25" i="2"/>
  <c r="I25" i="2"/>
  <c r="G25" i="2"/>
  <c r="J24" i="2"/>
  <c r="I24" i="2"/>
  <c r="G24" i="2"/>
  <c r="J23" i="2"/>
  <c r="G23" i="2"/>
  <c r="E22" i="2"/>
  <c r="D22" i="2"/>
  <c r="G22" i="2" s="1"/>
  <c r="J21" i="2"/>
  <c r="I21" i="2"/>
  <c r="G21" i="2"/>
  <c r="J20" i="2"/>
  <c r="I20" i="2"/>
  <c r="G20" i="2"/>
  <c r="J19" i="2"/>
  <c r="I13" i="2"/>
  <c r="I31" i="2" l="1"/>
  <c r="I33" i="2"/>
  <c r="I32" i="2"/>
  <c r="J30" i="2"/>
  <c r="I30" i="2"/>
  <c r="J26" i="2"/>
  <c r="I26" i="2"/>
  <c r="J22" i="2"/>
  <c r="I22" i="2"/>
  <c r="G32" i="2"/>
  <c r="J31" i="2"/>
  <c r="F18" i="2"/>
  <c r="D18" i="2"/>
  <c r="J17" i="2"/>
  <c r="G17" i="2"/>
  <c r="J16" i="2"/>
  <c r="I16" i="2"/>
  <c r="G16" i="2"/>
  <c r="J15" i="2"/>
  <c r="G15" i="2"/>
  <c r="H14" i="2"/>
  <c r="F14" i="2"/>
  <c r="E14" i="2"/>
  <c r="D14" i="2"/>
  <c r="J13" i="2"/>
  <c r="G13" i="2"/>
  <c r="J12" i="2"/>
  <c r="I12" i="2"/>
  <c r="G12" i="2"/>
  <c r="J11" i="2"/>
  <c r="H10" i="2"/>
  <c r="F10" i="2"/>
  <c r="E10" i="2"/>
  <c r="D10" i="2"/>
  <c r="J9" i="2"/>
  <c r="J8" i="2"/>
  <c r="I8" i="2"/>
  <c r="G8" i="2"/>
  <c r="J7" i="2"/>
  <c r="I4" i="2"/>
  <c r="H6" i="2"/>
  <c r="F6" i="2"/>
  <c r="E6" i="2"/>
  <c r="D6" i="2"/>
  <c r="J5" i="2"/>
  <c r="G4" i="2"/>
  <c r="J3" i="2"/>
  <c r="G18" i="2" l="1"/>
  <c r="G33" i="2"/>
  <c r="G14" i="2"/>
  <c r="F34" i="2"/>
  <c r="J32" i="2"/>
  <c r="E34" i="2"/>
  <c r="J18" i="2"/>
  <c r="J33" i="2"/>
  <c r="D34" i="2"/>
  <c r="H34" i="2"/>
  <c r="G31" i="2"/>
  <c r="I18" i="2"/>
  <c r="J14" i="2"/>
  <c r="I14" i="2"/>
  <c r="G10" i="2"/>
  <c r="J10" i="2"/>
  <c r="I10" i="2"/>
  <c r="G6" i="2"/>
  <c r="J6" i="2"/>
  <c r="I6" i="2"/>
  <c r="J34" i="2" l="1"/>
  <c r="G34" i="2"/>
  <c r="I34" i="2"/>
</calcChain>
</file>

<file path=xl/comments1.xml><?xml version="1.0" encoding="utf-8"?>
<comments xmlns="http://schemas.openxmlformats.org/spreadsheetml/2006/main">
  <authors>
    <author>Автор</author>
  </authors>
  <commentList>
    <comment ref="Z15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+680 УО кадетский класс
</t>
        </r>
      </text>
    </comment>
  </commentList>
</comments>
</file>

<file path=xl/sharedStrings.xml><?xml version="1.0" encoding="utf-8"?>
<sst xmlns="http://schemas.openxmlformats.org/spreadsheetml/2006/main" count="460" uniqueCount="148">
  <si>
    <t>Отчет о ходе реализации муниципальной программы (сетевой график)</t>
  </si>
  <si>
    <t>"Развитие образования в городе Когалыме" (постановление Администрации города Когалыма от 11.10.2013 №2899)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</si>
  <si>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</si>
  <si>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</si>
  <si>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</si>
  <si>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</si>
  <si>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</si>
  <si>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</si>
  <si>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</si>
  <si>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</si>
  <si>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</si>
  <si>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</si>
  <si>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</si>
  <si>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</si>
  <si>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</si>
  <si>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</si>
  <si>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</si>
  <si>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</si>
  <si>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</si>
  <si>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</si>
  <si>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</si>
  <si>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</si>
  <si>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</si>
  <si>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</si>
  <si>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</si>
  <si>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</si>
  <si>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11, 12, 14, 28 )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</si>
  <si>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</si>
  <si>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</si>
  <si>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</si>
  <si>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</si>
  <si>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</si>
  <si>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</si>
  <si>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</si>
  <si>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</si>
  <si>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1.1.4. Финансирование МАОУ "СОШ №8" в рамках проекта "Формула успеха"</t>
  </si>
  <si>
    <t>1.2 Основное мероприятие "Развитие системы дополнительного образования детей." (показатель 4)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</si>
  <si>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</si>
  <si>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 xml:space="preserve">Ежемесячное содержание МАУ "Школа искусств", МАУ "ДДТ". 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</si>
  <si>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3, 15, 27, 29)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</si>
  <si>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</si>
  <si>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</si>
  <si>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</si>
  <si>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1.4  Основное мероприятие "Организация отдыха и оздоровления детей" (показатель 26, 29)</t>
  </si>
  <si>
    <t>бюджет города Когалыма - 104 направление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</si>
  <si>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</si>
  <si>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</si>
  <si>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</si>
  <si>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1.5. Основное меропиятие "Региональный проект "Успех каждого ребенка" (показатели 4, 5, 6, 16,17, 28, 29)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</si>
  <si>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</si>
  <si>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 xml:space="preserve">Выезд обучающихся МАУ "ДДТ", МАУ "ДШИ" на мероприятия. 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</si>
  <si>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</si>
  <si>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1.5.3.Создание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</si>
  <si>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ИТОГО по подпрограмме 1. "Общее образование. Дополнительное образование детей."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</si>
  <si>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</si>
  <si>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(показатель 7)</t>
  </si>
  <si>
    <t>2.1.1.Организация и проведение государственной итоговой аттестации</t>
  </si>
  <si>
    <t>Подпрограмма 3.  "Молодёжь города Когалыма."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</si>
  <si>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18, 19, 20)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</si>
  <si>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</si>
  <si>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</si>
  <si>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Освоение средств по итогам проведения конкурса "На лучшую подготовку граждан РФ к военной службе"</t>
  </si>
  <si>
    <t>3.2  Основное мероприятие "Создание условий для повышения уровня потенциала и созидательной активности молодёжи" (показатели 8, 9)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</si>
  <si>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</si>
  <si>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Показательные выступления по ракетомодельному спорту, посвящённые Дню космонавтики; Молодежный слет-фестиваль "Перекресток"; Молодежный форум </t>
  </si>
  <si>
    <t xml:space="preserve">3.2.2. Организация мероприятий, проектов по вовлечению молодежи в добровольческую деятельность </t>
  </si>
  <si>
    <t>Волонтерский проект "Свет в окне" ; Акция гражданско-патриотического направления; Акция социально-культурного направления</t>
  </si>
  <si>
    <t>3.2.3. Поддержка студентов педагогических вузов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</si>
  <si>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8, 9, 20)</t>
  </si>
  <si>
    <t>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</si>
  <si>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</si>
  <si>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8, 9, 10)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</si>
  <si>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</si>
  <si>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</si>
  <si>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ИТОГО по подпрограмме 3.  Молодёжь города Когалыма.</t>
  </si>
  <si>
    <t>Подпрограмма 4.   "Ресурсное обеспечение системы образования"</t>
  </si>
  <si>
    <t>4.1  Основное мероприятие "Финансовое обеспечение полномочий управления образования и ресурсного центра" (показатели 1, 4, 17)</t>
  </si>
  <si>
    <t xml:space="preserve"> 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</si>
  <si>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</si>
  <si>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Экономия плановых ассигнований - Аппарат управления  согласно  фактически начисленной заработной платы.</t>
  </si>
  <si>
    <t>4.1.2.Проведение мероприятий аппаратом управления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</si>
  <si>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</si>
  <si>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 xml:space="preserve">Финансирование МАУ "ИРЦ г. Когалыма" 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</si>
  <si>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21, 22, 25 )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</si>
  <si>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</si>
  <si>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 xml:space="preserve">бюджет города Когалыма </t>
  </si>
  <si>
    <t>4.2.2 Создание системных механизмов сохранения и укрепления здоровья детей в образовательных организациях</t>
  </si>
  <si>
    <t>4.3 Основное мероприятие "Развитие материально-технической базы образовательных организаций" (показатели 23, 24 )</t>
  </si>
  <si>
    <t>4.3.1. Развитие инфраструктуры общего и дополнительного образования</t>
  </si>
  <si>
    <t>4.3.2  Проект МО "Создание лаборатории технического творчества MIR"</t>
  </si>
  <si>
    <t>4.4. Региональный проект "Содействие занятости женщин - создание условий дошкольного образования для детей в возрасте до трёх лет"  (показатели 1, 2, 3, 24)</t>
  </si>
  <si>
    <t>4.4.1.Строительство объекта: "Детский сад на 320 мест в 8 микрорайоне города Когалыма"</t>
  </si>
  <si>
    <t>ИТОГО по подпрограмме 4. "Ресурсное обеспечение системы образования"</t>
  </si>
  <si>
    <t>Итого по программе, в том числе</t>
  </si>
  <si>
    <t>Ответственный за составление Малофеева О.А. №телефона 9-36-48</t>
  </si>
  <si>
    <t>1.5.2.Персонифицированное финансирование дополнительного образования детей</t>
  </si>
  <si>
    <t>3.5. Основное мероприятие «Благоустройство, реконструкция, ремонт (в том числе капитальный) объектов, а также муниципального имущества, расположенного на объектах, переданных муниципальному учреждению сферы моложежной политики»  (показатель 30)</t>
  </si>
  <si>
    <t>3.5.1. Ремонт облицовки плит с объемными буквами, расположенных по ул. Сибирской в г. Когалыме</t>
  </si>
  <si>
    <t xml:space="preserve">Проведение ремонтных работ в убразовательных учреждениях. Оплата согласно актов выполненных работ. </t>
  </si>
  <si>
    <t>4.</t>
  </si>
  <si>
    <t>бюджеты муниципальных образований</t>
  </si>
  <si>
    <t>всего:</t>
  </si>
  <si>
    <t>№</t>
  </si>
  <si>
    <t>Государственные программы:</t>
  </si>
  <si>
    <t>Источники финансирования</t>
  </si>
  <si>
    <t>Результаты реализации, проблемные вопросы</t>
  </si>
  <si>
    <t>план на 2021 год</t>
  </si>
  <si>
    <t>профинансировано</t>
  </si>
  <si>
    <t>% финансирования к годовому плану</t>
  </si>
  <si>
    <t>% исполнения к финансированию</t>
  </si>
  <si>
    <t>Свод</t>
  </si>
  <si>
    <t xml:space="preserve"> 4.3.1.1.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</si>
  <si>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 xml:space="preserve"> 4.3.1.2. Реализация инициативного проекта "Несущий добро РАСс.в.е.т."</t>
  </si>
  <si>
    <t>п.п.4.5. Основное мероприятие Региональный проект «Современная школа»</t>
  </si>
  <si>
    <t>ПАО "ЛУКОЙЛ" 2021 год. Реализация мероприятий в рамках проекта "Формула успеха"</t>
  </si>
  <si>
    <t xml:space="preserve"> 4.3.1.2. Реализация инициативного проекта "Несущий добро РАСс.в.е.т."
</t>
  </si>
  <si>
    <t xml:space="preserve">4.3.2  Проект МО "Создание лаборатории технического творчества MIR"
</t>
  </si>
  <si>
    <t xml:space="preserve">п.п.4.5.1.   Основное мероприятие Региональный проект «Современная школа»
</t>
  </si>
  <si>
    <t>Освоение средств - Постановление № 1297 от 23.06.2021</t>
  </si>
  <si>
    <t>Работы выполнены и оплачены полностью</t>
  </si>
  <si>
    <t>МАУ ДО "ДДТ" выделено 784,2 тыс. руб., Освоено 784,2 тыс. руб. приобретение ноутбук, проектор, экран, программно-аппаратный комплекс "Кубик".</t>
  </si>
  <si>
    <t>Приобретение оборудования МАОУ "Средняя школа № 3" в рамках проекта  МО "Создание лаборатории технического творчества MIR" . По инициативному проекту - подготовка документов для выделения средств. По бюджету города освоение 5605,8 тыс. руб - приобретение компьютерной техники, принтеры, мониторы, проведение ремонтных работ в лаборатории, приобретение мебели.</t>
  </si>
  <si>
    <t>И.о. начальника Управления образования  ___________________________       А.Н. Лаврентьева</t>
  </si>
  <si>
    <t>2013,0 тыс. руб. - МУ «УКС г. Когалыма»; 4955,3 тыс. руб. - Управление образования</t>
  </si>
  <si>
    <t>Экономия плановых ассигнований 223,4 тыс. рублей в связи с отменой выезда на окружные олимпиады</t>
  </si>
  <si>
    <t>Финансирование ШКОЛЫ + д.САДЫ.    Экономия плановых ассигнований 136 161,8 тыс. рублей согласно перечисления средств по заключенным соглашениям и фактической потребности учреждений</t>
  </si>
  <si>
    <t>Денежные средства предусмотрены на компенсацию родительской платы, путем предоставления сертификата дошкольника Частный ДС "Академия детства". Всего  освоено 2884,0 тыс. рублей, согласно фактически предоставленных документов.
67 детей х 4000 руб. в месяц за январь, 68 детей х 4000 за февраль, 75 детей х 4000 за март. 77 детей х 4000 за апрель, 83 детей х 4000 за май, 90 детей х 4000 за июнь, 91 ребенок х 4000 за июль, 79 детей х 4000 за август, 91 ребенок х 4000 за сентябрь</t>
  </si>
  <si>
    <t>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 Всего в рамках данного мероприятия освоено 11219,8 тыс. рублей, согласно фактически предоставленных документов.</t>
  </si>
  <si>
    <t>Организация отдыха и оздоровления детей.  ОБ - 20591,4 тыс. рублей в т.ч. : ОБ оплата питания в пришкольных лагерях - 8388,1 тыс. рублей; ОБ приобретение путевок - 12203,3 тыс. руб.;  МБ - 2796,0 тыс. руб. - софинансирование питание. Освоено ОБ - 6785,2 т.руб. + МБ - 2265,6 т. руб. -организация питания в весенних пришкольных лагерях (1050 детей) + июнь, июль, август летние лагеря (1065 детей).  ОБ -  приобретение путевок 11635,4 т.руб</t>
  </si>
  <si>
    <t>Финансовое обеспечение мероприятий по созданию 450 новых мест дополнительного образования детей в пределах федерального проекта "Успех каждого ребенка" национального проекта "Образование"</t>
  </si>
  <si>
    <t>Экономия плановых ассигнований в связи с отменой проведения мероприятий по решению организаторов</t>
  </si>
  <si>
    <t>На 01.11.2021  План ОБ - 111846,6 тыс. руб. факт ОБ - 84659,6 тыс. руб.;       план ФБ - 11323,8 тыс. руб. факт - 8586,0 тыс. руб.;   план МБ - 1369,0 тыс. руб.   факт - 1038,1 тыс. руб.  Исполнение 60%. в связи с большим количеством актированных дней в 1 квартале.  Дни питания план - 5-ти дневка - 133, факт 80;   6-ти дневка план - 159, факт 95 дней. Оплата согласно предоставленных счетов по фактическим детодням питания.</t>
  </si>
  <si>
    <t xml:space="preserve">1.Контракт от 19.09.2021 № 72/21-ОД (функции заказчика переданы 04.05.2021), цена контракта 50 000,0 т. руб. срок окончания выполнения работ 31.08.2021 перечислен аванс в размере 25000 т. руб. работы выполнены и оплачены в полном объёме                                                                                                                              2. Контракт от 04.06.2021 № 73/21-ОД (функции заказчика переданы 22.06.2021), цена контракта 15000,0 т. руб. срок окончания выполнения работ 31.08.2021 перечислен аванс в размере 7500,0 тыс. рубработы выполнены и оплачены в полном объёме                                                                                                                                                      3. Ведется процедура подписания Контракта на 10000,0 тыс. руб.                                                        </t>
  </si>
  <si>
    <r>
      <t xml:space="preserve"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
</t>
    </r>
    <r>
      <rPr>
        <b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</si>
  <si>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t xml:space="preserve"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
</t>
  </si>
  <si>
    <t xml:space="preserve">1.4.1. Организация отдыха и оздоровления детей. 
Согласно техническому заданию реализация мероприятия предусмотрена в апреле 2021 года.
</t>
  </si>
  <si>
    <t xml:space="preserve">1.5.3. "Создание новых мест в образовательных организациях различных типов для реализации дополнительных общеразвивающих программ всех направленностей"
</t>
  </si>
  <si>
    <t>план на 01.11.2021</t>
  </si>
  <si>
    <t>на 1 ноября 2021 года</t>
  </si>
  <si>
    <t>исполнение на 01.11.2021</t>
  </si>
  <si>
    <t>% исполнения к плану на 01.11.2021</t>
  </si>
  <si>
    <r>
      <rPr>
        <sz val="10"/>
        <rFont val="Times New Roman"/>
        <family val="1"/>
        <charset val="204"/>
      </rPr>
      <t>В 2021 году предусмотрена реализация следующих мероприятий:</t>
    </r>
    <r>
      <rPr>
        <sz val="10"/>
        <color indexed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образования.</t>
    </r>
    <r>
      <rPr>
        <sz val="10"/>
        <rFont val="Times New Roman"/>
        <family val="1"/>
        <charset val="204"/>
      </rPr>
      <t xml:space="preserve"> Денежные средства предусмотрены на компенсацию родительской платы, путем предоставления сертификата дошкольника Частный ДС "Академия детства".Всего освоено 2884,0 тыс. рублей ОБ, согласно фактически предоставленных документов. Экономия составила 396,0 тыс. рублей.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</si>
  <si>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04"/>
      </rPr>
  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ОБ).</t>
    </r>
    <r>
      <rPr>
        <sz val="10"/>
        <rFont val="Times New Roman"/>
        <family val="1"/>
        <charset val="204"/>
      </rPr>
      <t xml:space="preserve"> В рамках данного мероприятия предусмотрена компенсация затрат, связанных с выплатой заработной платы, налогов и приобретение оборудования для реализации образовательных программ Частный ДС "Академия детства".Всего в рамках данного мероприятия освоено 11 219,8 тыс. рублей ОБ, согласно фактически предоставленных документов. Экономия по мероприятию составила 288,9 тыс. рублей.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</si>
  <si>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04"/>
      </rPr>
      <t>1.5.3. "Создание новых мест в образовательных организациях различных типов для реализации дополнительных общеразвивающих программ всех направленностей"</t>
    </r>
    <r>
      <rPr>
        <sz val="10"/>
        <rFont val="Times New Roman"/>
        <family val="1"/>
        <charset val="204"/>
      </rPr>
      <t xml:space="preserve">
Денежные средства федерального бюджета и бюджета автономного округа будут направлены на создание 450 новых мест дополнительного образования детей в рамках федерального проекта "Успех каждого ребенка" национального проекта "Образование". В проекте участвуют 4 школы города Когалыма по различным направлениям. Выделено на 2021 год на создание новых мест доп.образования - 2 837,0 тыс. рублей. По состоянию на 24.11.2021 освоение составляет 1323,6 тыс. рублей. Поставка компьютерного оборудования на сумму 1063,6 тыс рублей нарушение сроков поставки товара (ИП Калаев А.Н). Прогнозируемый срок поставки - 26.11.2021. Фактически сложившаяся экономия по результатам конкурсных процедур - 449,8 тыс. рублей. Исполнение за 2021 год составит 84,1% - 2387,2 тыс. рублей.  </t>
    </r>
  </si>
  <si>
    <r>
      <rPr>
        <b/>
        <sz val="10"/>
        <rFont val="Times New Roman"/>
        <family val="1"/>
        <charset val="204"/>
      </rPr>
      <t xml:space="preserve"> 4.3.1.2. Реализация инициативного проекта "Несущий добро РАСс.в.е.т."  </t>
    </r>
    <r>
      <rPr>
        <sz val="10"/>
        <rFont val="Times New Roman"/>
        <family val="1"/>
        <charset val="204"/>
      </rPr>
      <t xml:space="preserve">В рамках данного мероприятия на базе МАУ ДО "ДДТ" создан ресурсный кабинет для детей с расстройствами аутистического спектра и другими ментальными нарушениями, детей-инвалидов. Приобретено необходимое оборудование. Денежные средства освоены в полном объеме. Торжественное открытие кабинета состоялось 1 октября 2021 года.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</si>
  <si>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04"/>
      </rPr>
      <t xml:space="preserve">п.п.4.5.1.   Основное мероприятие Региональный проект «Современная школа»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Плановые ассигнования закрыты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</si>
  <si>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04"/>
      </rPr>
      <t xml:space="preserve">4.3.2  Проект МО "Создание лаборатории технического творчества MIR" </t>
    </r>
    <r>
      <rPr>
        <sz val="10"/>
        <rFont val="Times New Roman"/>
        <family val="1"/>
        <charset val="204"/>
      </rPr>
      <t xml:space="preserve"> Приобретение оборудования Денежные средства из бюджета автономного округа предусмотрены на приобретение оборудования МАОУ "Средняя школа № 3" в рамках проекта  МО "Создание лаборатории технического творчества MIR". На сегодняшний день идет закупка необходимого оборудования. Денеженые средства в сумме 2 930,2 тыс. рублей ОБ и 1 315,0 тыс. рублей МБ не реализованы, в связи с тем что расчет на поставку товаров, по условиям контракта, будет осуществлен в ноябре, декабре 2021 года. 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</si>
  <si>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Times New Roman"/>
        <family val="1"/>
        <charset val="204"/>
      </rPr>
      <t xml:space="preserve">1.4.1. Организация отдыха и оздоровления детей. </t>
    </r>
    <r>
      <rPr>
        <sz val="10"/>
        <rFont val="Times New Roman"/>
        <family val="1"/>
        <charset val="204"/>
      </rPr>
      <t xml:space="preserve">
Всего отдохнули в оздоровительных учреждениях за пределами города Когалыма 379 человек (ХМАО-Югра - 45 человек, Краснодарский край – 196 человек, Крым – 80 человек, г.Тюмень - 58 человек).
В оздоровительных лагерях с дневным пребыванием детей:
- в период весенних каникул детей на базе МАОУ СОШ № 1, МАОУ «Средняя школа № 3», МАОУ «Средняя школа № 5», МАОУ «Средняя школа № 6», МАОУ СОШ № 7, МАОУ «Средняя школа № 8» (корпус 2), МАОУ «СОШ № 10» отдохнули 1 050 человек. 
- в период летних каникул на базе МАОУ СОШ № 1, МАОУ «Средняя школа № 5», МАОУ «Средняя школа № 6», МАОУ СОШ № 7, МАОУ «Средняя школа № 8» (корпус 2), МАУ «Школа искусств», МАУ ДО «ДДТ», МАУ «Спортивная школа «Дворец спорта», МАОУ «Средняя школа № 8» (корпус 2) -  лагерь труда и отдыха МАУ «Молодёжный комплексный центр «Феникс» отдохнули 1 168 человек.Ообщий охват детей в пришкольных лагерях составил 2 218 человек.
Кроме этого, был организован пеший поход, участие в котором приняли 25 детей туристического клуба «Легенда».  Экономия средств по организации питания в пришкольных лагерях 2688,7 тыс. р. . Плановые ассигнования закрыты в ноябре в соответствии с условиями соглашения с Департаментом образования.
</t>
    </r>
    <r>
      <rPr>
        <sz val="10"/>
        <color indexed="1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</si>
</sst>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_(* #,##0.0_);_(* \(#,##0.0\);_(* &quot;-&quot;??_);_(@_)"/>
    <numFmt numFmtId="170" formatCode="0.0"/>
    <numFmt numFmtId="171" formatCode="_-* #,##0.0_р_._-;\-* #,##0.0_р_._-;_-* &quot;-&quot;?_р_._-;_-@_-"/>
    <numFmt numFmtId="172" formatCode="#,##0\ _₽"/>
    <numFmt numFmtId="173" formatCode="#,##0.0_ ;\-#,##0.0\ "/>
    <numFmt numFmtId="174" formatCode="_-* #,##0.0\ _₽_-;\-* #,##0.0\ _₽_-;_-* &quot;-&quot;??\ _₽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1" applyFont="1" applyFill="1" applyAlignment="1" applyProtection="1">
      <alignment horizontal="justify" vertical="center" wrapText="1"/>
    </xf>
    <xf numFmtId="0" fontId="2" fillId="0" borderId="0" xfId="1" applyFont="1" applyFill="1" applyAlignment="1" applyProtection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 applyProtection="1">
      <alignment vertical="center" wrapText="1"/>
    </xf>
    <xf numFmtId="164" fontId="4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justify" wrapText="1"/>
    </xf>
    <xf numFmtId="167" fontId="6" fillId="0" borderId="1" xfId="2" applyNumberFormat="1" applyFont="1" applyFill="1" applyBorder="1" applyAlignment="1" applyProtection="1">
      <alignment vertical="center" wrapText="1"/>
    </xf>
    <xf numFmtId="168" fontId="6" fillId="0" borderId="1" xfId="2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justify" wrapText="1"/>
    </xf>
    <xf numFmtId="164" fontId="8" fillId="0" borderId="1" xfId="1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vertical="center" wrapText="1"/>
    </xf>
    <xf numFmtId="168" fontId="8" fillId="0" borderId="1" xfId="2" applyNumberFormat="1" applyFont="1" applyFill="1" applyBorder="1" applyAlignment="1" applyProtection="1">
      <alignment horizontal="center" vertical="center" wrapText="1"/>
    </xf>
    <xf numFmtId="168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vertical="center" wrapText="1"/>
    </xf>
    <xf numFmtId="167" fontId="8" fillId="0" borderId="1" xfId="1" applyNumberFormat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vertical="center" wrapText="1"/>
    </xf>
    <xf numFmtId="167" fontId="8" fillId="0" borderId="1" xfId="2" applyNumberFormat="1" applyFont="1" applyFill="1" applyBorder="1" applyAlignment="1" applyProtection="1">
      <alignment horizontal="right" vertical="center" wrapText="1"/>
    </xf>
    <xf numFmtId="164" fontId="7" fillId="0" borderId="1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3" fontId="6" fillId="0" borderId="1" xfId="2" applyNumberFormat="1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left" vertical="top" wrapText="1"/>
    </xf>
    <xf numFmtId="3" fontId="8" fillId="0" borderId="1" xfId="2" applyNumberFormat="1" applyFont="1" applyFill="1" applyBorder="1" applyAlignment="1" applyProtection="1">
      <alignment vertical="center" wrapText="1"/>
    </xf>
    <xf numFmtId="3" fontId="8" fillId="0" borderId="1" xfId="1" applyNumberFormat="1" applyFont="1" applyFill="1" applyBorder="1" applyAlignment="1" applyProtection="1">
      <alignment vertical="center" wrapText="1"/>
    </xf>
    <xf numFmtId="167" fontId="6" fillId="0" borderId="1" xfId="2" applyNumberFormat="1" applyFont="1" applyFill="1" applyBorder="1" applyAlignment="1" applyProtection="1">
      <alignment horizontal="right" vertical="center" wrapText="1"/>
    </xf>
    <xf numFmtId="167" fontId="6" fillId="0" borderId="1" xfId="1" applyNumberFormat="1" applyFont="1" applyFill="1" applyBorder="1" applyAlignment="1" applyProtection="1">
      <alignment horizontal="right" vertical="center" wrapText="1"/>
    </xf>
    <xf numFmtId="2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10" fillId="0" borderId="5" xfId="1" applyNumberFormat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169" fontId="8" fillId="0" borderId="1" xfId="2" applyNumberFormat="1" applyFont="1" applyFill="1" applyBorder="1" applyAlignment="1" applyProtection="1">
      <alignment horizontal="justify" wrapText="1"/>
    </xf>
    <xf numFmtId="169" fontId="9" fillId="0" borderId="0" xfId="2" applyNumberFormat="1" applyFont="1" applyFill="1" applyBorder="1" applyAlignment="1" applyProtection="1">
      <alignment vertical="center" wrapText="1"/>
    </xf>
    <xf numFmtId="170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164" fontId="10" fillId="0" borderId="1" xfId="1" applyNumberFormat="1" applyFont="1" applyFill="1" applyBorder="1" applyAlignment="1" applyProtection="1">
      <alignment horizontal="left" vertical="top" wrapText="1"/>
    </xf>
    <xf numFmtId="2" fontId="8" fillId="0" borderId="1" xfId="1" applyNumberFormat="1" applyFont="1" applyFill="1" applyBorder="1" applyAlignment="1" applyProtection="1">
      <alignment vertical="center" wrapText="1"/>
    </xf>
    <xf numFmtId="170" fontId="8" fillId="0" borderId="1" xfId="1" applyNumberFormat="1" applyFont="1" applyFill="1" applyBorder="1" applyAlignment="1" applyProtection="1">
      <alignment vertical="center" wrapText="1"/>
    </xf>
    <xf numFmtId="169" fontId="6" fillId="0" borderId="1" xfId="2" applyNumberFormat="1" applyFont="1" applyFill="1" applyBorder="1" applyAlignment="1" applyProtection="1">
      <alignment vertical="center" wrapText="1"/>
    </xf>
    <xf numFmtId="168" fontId="8" fillId="0" borderId="1" xfId="1" applyNumberFormat="1" applyFont="1" applyFill="1" applyBorder="1" applyAlignment="1" applyProtection="1">
      <alignment vertical="center" wrapText="1"/>
    </xf>
    <xf numFmtId="169" fontId="8" fillId="0" borderId="1" xfId="1" applyNumberFormat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NumberFormat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 applyProtection="1">
      <alignment vertical="top" wrapText="1"/>
    </xf>
    <xf numFmtId="164" fontId="7" fillId="0" borderId="5" xfId="1" applyNumberFormat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Fill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justify" vertical="center" wrapText="1"/>
    </xf>
    <xf numFmtId="0" fontId="4" fillId="0" borderId="0" xfId="1" applyFont="1" applyFill="1" applyAlignment="1">
      <alignment horizontal="left" vertical="top" wrapText="1"/>
    </xf>
    <xf numFmtId="164" fontId="4" fillId="0" borderId="0" xfId="1" applyNumberFormat="1" applyFont="1" applyFill="1" applyAlignment="1">
      <alignment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172" fontId="6" fillId="0" borderId="1" xfId="2" applyNumberFormat="1" applyFont="1" applyFill="1" applyBorder="1" applyAlignment="1" applyProtection="1">
      <alignment vertical="center" wrapText="1"/>
    </xf>
    <xf numFmtId="0" fontId="11" fillId="0" borderId="0" xfId="0" applyFont="1" applyBorder="1"/>
    <xf numFmtId="0" fontId="11" fillId="0" borderId="0" xfId="0" applyFont="1"/>
    <xf numFmtId="16" fontId="13" fillId="2" borderId="8" xfId="0" applyNumberFormat="1" applyFont="1" applyFill="1" applyBorder="1" applyAlignment="1">
      <alignment horizontal="left" vertical="center" wrapText="1"/>
    </xf>
    <xf numFmtId="173" fontId="13" fillId="0" borderId="8" xfId="2" applyNumberFormat="1" applyFont="1" applyFill="1" applyBorder="1" applyAlignment="1">
      <alignment horizontal="right" vertical="center"/>
    </xf>
    <xf numFmtId="170" fontId="13" fillId="0" borderId="8" xfId="2" applyNumberFormat="1" applyFont="1" applyFill="1" applyBorder="1" applyAlignment="1">
      <alignment horizontal="right" vertical="center"/>
    </xf>
    <xf numFmtId="16" fontId="13" fillId="2" borderId="1" xfId="0" applyNumberFormat="1" applyFont="1" applyFill="1" applyBorder="1" applyAlignment="1">
      <alignment horizontal="left" vertical="center" wrapText="1"/>
    </xf>
    <xf numFmtId="173" fontId="13" fillId="0" borderId="1" xfId="2" applyNumberFormat="1" applyFont="1" applyFill="1" applyBorder="1" applyAlignment="1">
      <alignment horizontal="right" vertical="center"/>
    </xf>
    <xf numFmtId="170" fontId="13" fillId="0" borderId="1" xfId="2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left" vertical="center" wrapText="1"/>
    </xf>
    <xf numFmtId="173" fontId="14" fillId="3" borderId="17" xfId="2" applyNumberFormat="1" applyFont="1" applyFill="1" applyBorder="1" applyAlignment="1">
      <alignment horizontal="right" vertical="center"/>
    </xf>
    <xf numFmtId="170" fontId="14" fillId="2" borderId="17" xfId="2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/>
    <xf numFmtId="17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74" fontId="8" fillId="0" borderId="1" xfId="2" applyNumberFormat="1" applyFont="1" applyFill="1" applyBorder="1" applyAlignment="1" applyProtection="1">
      <alignment vertical="center" wrapText="1"/>
    </xf>
    <xf numFmtId="164" fontId="6" fillId="0" borderId="10" xfId="1" applyNumberFormat="1" applyFont="1" applyFill="1" applyBorder="1" applyAlignment="1" applyProtection="1">
      <alignment vertical="center" wrapText="1"/>
    </xf>
    <xf numFmtId="164" fontId="6" fillId="0" borderId="11" xfId="1" applyNumberFormat="1" applyFont="1" applyFill="1" applyBorder="1" applyAlignment="1" applyProtection="1">
      <alignment vertical="center" wrapText="1"/>
    </xf>
    <xf numFmtId="164" fontId="7" fillId="0" borderId="6" xfId="1" applyNumberFormat="1" applyFont="1" applyFill="1" applyBorder="1" applyAlignment="1" applyProtection="1">
      <alignment horizontal="left" vertical="top" wrapText="1"/>
    </xf>
    <xf numFmtId="43" fontId="8" fillId="0" borderId="1" xfId="2" applyNumberFormat="1" applyFont="1" applyFill="1" applyBorder="1" applyAlignment="1" applyProtection="1">
      <alignment vertical="center" wrapText="1"/>
    </xf>
    <xf numFmtId="172" fontId="8" fillId="0" borderId="1" xfId="2" applyNumberFormat="1" applyFont="1" applyFill="1" applyBorder="1" applyAlignment="1" applyProtection="1">
      <alignment vertical="center" wrapText="1"/>
    </xf>
    <xf numFmtId="0" fontId="0" fillId="0" borderId="0" xfId="0" applyFill="1"/>
    <xf numFmtId="1" fontId="6" fillId="0" borderId="8" xfId="1" applyNumberFormat="1" applyFont="1" applyFill="1" applyBorder="1" applyAlignment="1" applyProtection="1">
      <alignment horizontal="center" vertical="center" wrapText="1"/>
    </xf>
    <xf numFmtId="14" fontId="6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164" fontId="7" fillId="0" borderId="2" xfId="1" applyNumberFormat="1" applyFont="1" applyFill="1" applyBorder="1" applyAlignment="1" applyProtection="1">
      <alignment horizontal="left" vertical="top" wrapText="1"/>
    </xf>
    <xf numFmtId="164" fontId="7" fillId="0" borderId="5" xfId="1" applyNumberFormat="1" applyFont="1" applyFill="1" applyBorder="1" applyAlignment="1" applyProtection="1">
      <alignment horizontal="left" vertical="top" wrapText="1"/>
    </xf>
    <xf numFmtId="164" fontId="7" fillId="0" borderId="8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5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top" wrapText="1"/>
    </xf>
    <xf numFmtId="164" fontId="7" fillId="0" borderId="5" xfId="1" applyNumberFormat="1" applyFont="1" applyFill="1" applyBorder="1" applyAlignment="1" applyProtection="1">
      <alignment horizontal="center" vertical="top" wrapText="1"/>
    </xf>
    <xf numFmtId="164" fontId="7" fillId="0" borderId="8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Alignment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73" fontId="15" fillId="0" borderId="13" xfId="2" applyNumberFormat="1" applyFont="1" applyFill="1" applyBorder="1" applyAlignment="1">
      <alignment horizontal="left" vertical="center" wrapText="1"/>
    </xf>
    <xf numFmtId="173" fontId="15" fillId="0" borderId="14" xfId="2" applyNumberFormat="1" applyFont="1" applyFill="1" applyBorder="1" applyAlignment="1">
      <alignment horizontal="left" vertical="center" wrapText="1"/>
    </xf>
    <xf numFmtId="173" fontId="15" fillId="0" borderId="15" xfId="2" applyNumberFormat="1" applyFont="1" applyFill="1" applyBorder="1" applyAlignment="1">
      <alignment horizontal="left" vertical="center" wrapText="1"/>
    </xf>
    <xf numFmtId="173" fontId="15" fillId="0" borderId="12" xfId="2" applyNumberFormat="1" applyFont="1" applyFill="1" applyBorder="1" applyAlignment="1">
      <alignment horizontal="left" vertical="center" wrapText="1"/>
    </xf>
    <xf numFmtId="173" fontId="15" fillId="0" borderId="0" xfId="2" applyNumberFormat="1" applyFont="1" applyFill="1" applyBorder="1" applyAlignment="1">
      <alignment horizontal="left" vertical="center" wrapText="1"/>
    </xf>
    <xf numFmtId="173" fontId="15" fillId="0" borderId="16" xfId="2" applyNumberFormat="1" applyFont="1" applyFill="1" applyBorder="1" applyAlignment="1">
      <alignment horizontal="left" vertical="center" wrapText="1"/>
    </xf>
    <xf numFmtId="173" fontId="15" fillId="0" borderId="18" xfId="2" applyNumberFormat="1" applyFont="1" applyFill="1" applyBorder="1" applyAlignment="1">
      <alignment horizontal="left" vertical="center" wrapText="1"/>
    </xf>
    <xf numFmtId="173" fontId="15" fillId="0" borderId="19" xfId="2" applyNumberFormat="1" applyFont="1" applyFill="1" applyBorder="1" applyAlignment="1">
      <alignment horizontal="left" vertical="center" wrapText="1"/>
    </xf>
    <xf numFmtId="173" fontId="15" fillId="0" borderId="20" xfId="2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6" fontId="17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7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0" xfId="0" applyNumberFormat="1" applyFont="1" applyBorder="1"/>
    <xf numFmtId="173" fontId="13" fillId="0" borderId="13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340"/>
  <sheetViews>
    <sheetView view="pageBreakPreview" zoomScale="60" zoomScaleNormal="50" workbookViewId="0">
      <pane ySplit="8" topLeftCell="A68" activePane="bottomLeft" state="frozen"/>
      <selection pane="bottomLeft" activeCell="B82" sqref="B82"/>
    </sheetView>
  </sheetViews>
  <sheetFormatPr defaultColWidth="9.140625" defaultRowHeight="15" x14ac:dyDescent="0.25"/>
  <cols>
    <col min="1" max="1" width="45.42578125" style="94" customWidth="1"/>
    <col min="2" max="3" width="15.85546875" style="94" bestFit="1" customWidth="1"/>
    <col min="4" max="4" width="20.140625" style="94" customWidth="1"/>
    <col min="5" max="5" width="18.5703125" style="94" customWidth="1"/>
    <col min="6" max="6" width="21.85546875" style="94" bestFit="1" customWidth="1"/>
    <col min="7" max="7" width="23.28515625" style="94" bestFit="1" customWidth="1"/>
    <col min="8" max="8" width="16.7109375" style="94" customWidth="1"/>
    <col min="9" max="9" width="18.7109375" style="94" customWidth="1"/>
    <col min="10" max="10" width="16.5703125" style="94" customWidth="1"/>
    <col min="11" max="11" width="19" style="94" customWidth="1"/>
    <col min="12" max="12" width="18.42578125" style="94" customWidth="1"/>
    <col min="13" max="13" width="15.85546875" style="94" customWidth="1"/>
    <col min="14" max="14" width="16.42578125" style="94" customWidth="1"/>
    <col min="15" max="15" width="17" style="94" customWidth="1"/>
    <col min="16" max="16" width="15.5703125" style="94" customWidth="1"/>
    <col min="17" max="17" width="16.42578125" style="94" customWidth="1"/>
    <col min="18" max="18" width="16.7109375" style="94" customWidth="1"/>
    <col min="19" max="19" width="17.85546875" style="94" customWidth="1"/>
    <col min="20" max="20" width="13.5703125" style="94" bestFit="1" customWidth="1"/>
    <col min="21" max="21" width="16.42578125" style="94" customWidth="1"/>
    <col min="22" max="22" width="15.28515625" style="94" customWidth="1"/>
    <col min="23" max="23" width="17" style="94" customWidth="1"/>
    <col min="24" max="24" width="16" style="94" customWidth="1"/>
    <col min="25" max="25" width="18.140625" style="94" customWidth="1"/>
    <col min="26" max="26" width="16.5703125" style="94" customWidth="1"/>
    <col min="27" max="27" width="18.42578125" style="94" customWidth="1"/>
    <col min="28" max="28" width="16" style="94" customWidth="1"/>
    <col min="29" max="29" width="18.140625" style="94" customWidth="1"/>
    <col min="30" max="30" width="17" style="94" customWidth="1"/>
    <col min="31" max="31" width="18.42578125" style="94" customWidth="1"/>
    <col min="32" max="32" width="99.140625" style="94" customWidth="1"/>
    <col min="33" max="33" width="19.5703125" style="94" customWidth="1"/>
    <col min="34" max="34" width="13.5703125" style="94" bestFit="1" customWidth="1"/>
    <col min="35" max="35" width="12.42578125" style="94" bestFit="1" customWidth="1"/>
    <col min="36" max="16384" width="9.140625" style="94"/>
  </cols>
  <sheetData>
    <row r="1" spans="1:6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24"/>
      <c r="U1" s="124"/>
      <c r="V1" s="124"/>
      <c r="W1" s="124"/>
      <c r="X1" s="124"/>
      <c r="Y1" s="124"/>
      <c r="Z1" s="3"/>
      <c r="AA1" s="3"/>
      <c r="AB1" s="3"/>
      <c r="AC1" s="4"/>
      <c r="AD1" s="4"/>
      <c r="AE1" s="4"/>
      <c r="AF1" s="5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6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4"/>
      <c r="AF2" s="5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20.25" x14ac:dyDescent="0.25">
      <c r="A3" s="125" t="s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"/>
      <c r="Q3" s="2"/>
      <c r="R3" s="2"/>
      <c r="S3" s="2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4"/>
      <c r="AF3" s="5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20.25" x14ac:dyDescent="0.25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2"/>
      <c r="Q4" s="2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20.25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2"/>
      <c r="Q5" s="2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2" ht="18.75" x14ac:dyDescent="0.25">
      <c r="A6" s="121" t="s">
        <v>2</v>
      </c>
      <c r="B6" s="122" t="s">
        <v>3</v>
      </c>
      <c r="C6" s="122" t="s">
        <v>3</v>
      </c>
      <c r="D6" s="122" t="s">
        <v>4</v>
      </c>
      <c r="E6" s="122" t="s">
        <v>5</v>
      </c>
      <c r="F6" s="117" t="s">
        <v>6</v>
      </c>
      <c r="G6" s="118"/>
      <c r="H6" s="117" t="s">
        <v>7</v>
      </c>
      <c r="I6" s="118"/>
      <c r="J6" s="117" t="s">
        <v>8</v>
      </c>
      <c r="K6" s="118"/>
      <c r="L6" s="117" t="s">
        <v>9</v>
      </c>
      <c r="M6" s="118"/>
      <c r="N6" s="117" t="s">
        <v>10</v>
      </c>
      <c r="O6" s="118"/>
      <c r="P6" s="117" t="s">
        <v>11</v>
      </c>
      <c r="Q6" s="118"/>
      <c r="R6" s="117" t="s">
        <v>12</v>
      </c>
      <c r="S6" s="118"/>
      <c r="T6" s="117" t="s">
        <v>13</v>
      </c>
      <c r="U6" s="118"/>
      <c r="V6" s="117" t="s">
        <v>14</v>
      </c>
      <c r="W6" s="118"/>
      <c r="X6" s="117" t="s">
        <v>15</v>
      </c>
      <c r="Y6" s="118"/>
      <c r="Z6" s="117" t="s">
        <v>16</v>
      </c>
      <c r="AA6" s="118"/>
      <c r="AB6" s="117" t="s">
        <v>17</v>
      </c>
      <c r="AC6" s="118"/>
      <c r="AD6" s="117" t="s">
        <v>18</v>
      </c>
      <c r="AE6" s="118"/>
      <c r="AF6" s="126" t="s">
        <v>19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ht="18.75" x14ac:dyDescent="0.25">
      <c r="A7" s="121"/>
      <c r="B7" s="123"/>
      <c r="C7" s="123"/>
      <c r="D7" s="123"/>
      <c r="E7" s="123"/>
      <c r="F7" s="119"/>
      <c r="G7" s="120"/>
      <c r="H7" s="119"/>
      <c r="I7" s="120"/>
      <c r="J7" s="119"/>
      <c r="K7" s="120"/>
      <c r="L7" s="119"/>
      <c r="M7" s="120"/>
      <c r="N7" s="119"/>
      <c r="O7" s="120"/>
      <c r="P7" s="119"/>
      <c r="Q7" s="120"/>
      <c r="R7" s="119"/>
      <c r="S7" s="120"/>
      <c r="T7" s="119"/>
      <c r="U7" s="120"/>
      <c r="V7" s="119"/>
      <c r="W7" s="120"/>
      <c r="X7" s="119"/>
      <c r="Y7" s="120"/>
      <c r="Z7" s="119"/>
      <c r="AA7" s="120"/>
      <c r="AB7" s="119"/>
      <c r="AC7" s="120"/>
      <c r="AD7" s="119"/>
      <c r="AE7" s="120"/>
      <c r="AF7" s="12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37.5" x14ac:dyDescent="0.25">
      <c r="A8" s="121"/>
      <c r="B8" s="95" t="s">
        <v>20</v>
      </c>
      <c r="C8" s="96">
        <v>44501</v>
      </c>
      <c r="D8" s="96">
        <v>44501</v>
      </c>
      <c r="E8" s="96">
        <v>44501</v>
      </c>
      <c r="F8" s="7" t="s">
        <v>21</v>
      </c>
      <c r="G8" s="7" t="s">
        <v>22</v>
      </c>
      <c r="H8" s="8" t="s">
        <v>23</v>
      </c>
      <c r="I8" s="8" t="s">
        <v>24</v>
      </c>
      <c r="J8" s="8" t="s">
        <v>23</v>
      </c>
      <c r="K8" s="8" t="s">
        <v>24</v>
      </c>
      <c r="L8" s="8" t="s">
        <v>23</v>
      </c>
      <c r="M8" s="8" t="s">
        <v>24</v>
      </c>
      <c r="N8" s="8" t="s">
        <v>23</v>
      </c>
      <c r="O8" s="8" t="s">
        <v>24</v>
      </c>
      <c r="P8" s="8" t="s">
        <v>23</v>
      </c>
      <c r="Q8" s="8" t="s">
        <v>24</v>
      </c>
      <c r="R8" s="8" t="s">
        <v>23</v>
      </c>
      <c r="S8" s="8" t="s">
        <v>24</v>
      </c>
      <c r="T8" s="8" t="s">
        <v>23</v>
      </c>
      <c r="U8" s="8" t="s">
        <v>24</v>
      </c>
      <c r="V8" s="8" t="s">
        <v>23</v>
      </c>
      <c r="W8" s="8" t="s">
        <v>24</v>
      </c>
      <c r="X8" s="8" t="s">
        <v>23</v>
      </c>
      <c r="Y8" s="8" t="s">
        <v>24</v>
      </c>
      <c r="Z8" s="8" t="s">
        <v>23</v>
      </c>
      <c r="AA8" s="8" t="s">
        <v>24</v>
      </c>
      <c r="AB8" s="8" t="s">
        <v>23</v>
      </c>
      <c r="AC8" s="8" t="s">
        <v>24</v>
      </c>
      <c r="AD8" s="8" t="s">
        <v>23</v>
      </c>
      <c r="AE8" s="8" t="s">
        <v>24</v>
      </c>
      <c r="AF8" s="12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8.75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1">
        <v>32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20.25" x14ac:dyDescent="0.25">
      <c r="A10" s="108" t="s">
        <v>25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10"/>
      <c r="AE10" s="13"/>
      <c r="AF10" s="14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20.25" x14ac:dyDescent="0.25">
      <c r="A11" s="108" t="s">
        <v>26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  <c r="AF11" s="17"/>
      <c r="AG11" s="15"/>
      <c r="AH11" s="15"/>
      <c r="AI11" s="15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</row>
    <row r="12" spans="1:62" ht="18.75" x14ac:dyDescent="0.3">
      <c r="A12" s="19" t="s">
        <v>27</v>
      </c>
      <c r="B12" s="20">
        <f>H12+J12+L12+N12+P12+R12+T12+V12+X12+Z12+AB12+AD12</f>
        <v>3979.73</v>
      </c>
      <c r="C12" s="13">
        <f>SUM(C13:C16)</f>
        <v>3344.73</v>
      </c>
      <c r="D12" s="13">
        <f t="shared" ref="D12:E12" si="0">SUM(D13:D16)</f>
        <v>2786.5</v>
      </c>
      <c r="E12" s="13">
        <f t="shared" si="0"/>
        <v>2786.5</v>
      </c>
      <c r="F12" s="21">
        <f>E12/B12*100</f>
        <v>70.017312732270781</v>
      </c>
      <c r="G12" s="21">
        <f>E12/C12*100</f>
        <v>83.310162554227091</v>
      </c>
      <c r="H12" s="13">
        <f>SUM(H13:H16)</f>
        <v>200</v>
      </c>
      <c r="I12" s="13">
        <f t="shared" ref="I12:AE12" si="1">SUM(I13:I16)</f>
        <v>0</v>
      </c>
      <c r="J12" s="13">
        <f t="shared" si="1"/>
        <v>395.5</v>
      </c>
      <c r="K12" s="13">
        <f t="shared" si="1"/>
        <v>67.3</v>
      </c>
      <c r="L12" s="13">
        <f>SUM(L13:L16)</f>
        <v>177</v>
      </c>
      <c r="M12" s="13">
        <f t="shared" si="1"/>
        <v>445.6</v>
      </c>
      <c r="N12" s="13">
        <f t="shared" si="1"/>
        <v>0</v>
      </c>
      <c r="O12" s="13">
        <f t="shared" si="1"/>
        <v>22.5</v>
      </c>
      <c r="P12" s="13">
        <f t="shared" si="1"/>
        <v>200</v>
      </c>
      <c r="Q12" s="13">
        <f t="shared" si="1"/>
        <v>0</v>
      </c>
      <c r="R12" s="13">
        <f t="shared" si="1"/>
        <v>405.23</v>
      </c>
      <c r="S12" s="13">
        <f t="shared" si="1"/>
        <v>258.8</v>
      </c>
      <c r="T12" s="13">
        <f t="shared" si="1"/>
        <v>1117</v>
      </c>
      <c r="U12" s="13">
        <f t="shared" si="1"/>
        <v>164.9</v>
      </c>
      <c r="V12" s="13">
        <f t="shared" si="1"/>
        <v>0</v>
      </c>
      <c r="W12" s="13">
        <f t="shared" si="1"/>
        <v>60</v>
      </c>
      <c r="X12" s="13">
        <f t="shared" si="1"/>
        <v>0</v>
      </c>
      <c r="Y12" s="13">
        <f t="shared" si="1"/>
        <v>828.1</v>
      </c>
      <c r="Z12" s="13">
        <f t="shared" si="1"/>
        <v>850</v>
      </c>
      <c r="AA12" s="13">
        <f t="shared" si="1"/>
        <v>939.3</v>
      </c>
      <c r="AB12" s="13">
        <f t="shared" si="1"/>
        <v>0</v>
      </c>
      <c r="AC12" s="13">
        <f t="shared" si="1"/>
        <v>0</v>
      </c>
      <c r="AD12" s="13">
        <f t="shared" si="1"/>
        <v>635</v>
      </c>
      <c r="AE12" s="13">
        <f t="shared" si="1"/>
        <v>0</v>
      </c>
      <c r="AF12" s="17"/>
      <c r="AG12" s="15"/>
      <c r="AH12" s="15"/>
      <c r="AI12" s="15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</row>
    <row r="13" spans="1:62" ht="18.75" x14ac:dyDescent="0.3">
      <c r="A13" s="22" t="s">
        <v>28</v>
      </c>
      <c r="B13" s="23">
        <f>B19+B25+B37+B31</f>
        <v>0</v>
      </c>
      <c r="C13" s="23">
        <f t="shared" ref="C13:E13" si="2">C19+C25+C37+C31</f>
        <v>0</v>
      </c>
      <c r="D13" s="23">
        <f t="shared" si="2"/>
        <v>0</v>
      </c>
      <c r="E13" s="23">
        <f t="shared" si="2"/>
        <v>0</v>
      </c>
      <c r="F13" s="24" t="e">
        <f>E13/B13*100</f>
        <v>#DIV/0!</v>
      </c>
      <c r="G13" s="24" t="e">
        <f t="shared" ref="G13:G15" si="3">E13/C13*100</f>
        <v>#DIV/0!</v>
      </c>
      <c r="H13" s="23">
        <f t="shared" ref="H13:AE16" si="4">H19+H25+H37+H31</f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0</v>
      </c>
      <c r="R13" s="23">
        <f t="shared" si="4"/>
        <v>0</v>
      </c>
      <c r="S13" s="23">
        <f t="shared" si="4"/>
        <v>0</v>
      </c>
      <c r="T13" s="23">
        <f t="shared" si="4"/>
        <v>0</v>
      </c>
      <c r="U13" s="23">
        <f t="shared" si="4"/>
        <v>0</v>
      </c>
      <c r="V13" s="23">
        <f t="shared" si="4"/>
        <v>0</v>
      </c>
      <c r="W13" s="23">
        <f t="shared" si="4"/>
        <v>0</v>
      </c>
      <c r="X13" s="23">
        <f t="shared" si="4"/>
        <v>0</v>
      </c>
      <c r="Y13" s="23">
        <f t="shared" si="4"/>
        <v>0</v>
      </c>
      <c r="Z13" s="23">
        <f t="shared" si="4"/>
        <v>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0</v>
      </c>
      <c r="AE13" s="23">
        <f t="shared" si="4"/>
        <v>0</v>
      </c>
      <c r="AF13" s="17"/>
      <c r="AG13" s="15"/>
      <c r="AH13" s="15"/>
      <c r="AI13" s="15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</row>
    <row r="14" spans="1:62" ht="18.75" x14ac:dyDescent="0.3">
      <c r="A14" s="22" t="s">
        <v>29</v>
      </c>
      <c r="B14" s="23">
        <f>B20+B26+B38+B32</f>
        <v>2859.5</v>
      </c>
      <c r="C14" s="23">
        <f>C20+C26+C38+C32</f>
        <v>2224.5</v>
      </c>
      <c r="D14" s="23">
        <f>D20+D26+D38+D32</f>
        <v>2001.1</v>
      </c>
      <c r="E14" s="23">
        <f>E20+E26+E38+E32</f>
        <v>2001.1</v>
      </c>
      <c r="F14" s="25">
        <f>E14/B14*100</f>
        <v>69.98076586815877</v>
      </c>
      <c r="G14" s="25">
        <f t="shared" si="3"/>
        <v>89.957293773881759</v>
      </c>
      <c r="H14" s="23">
        <f t="shared" si="4"/>
        <v>200</v>
      </c>
      <c r="I14" s="23">
        <f t="shared" si="4"/>
        <v>0</v>
      </c>
      <c r="J14" s="23">
        <f t="shared" si="4"/>
        <v>395.5</v>
      </c>
      <c r="K14" s="23">
        <f t="shared" si="4"/>
        <v>67.3</v>
      </c>
      <c r="L14" s="23">
        <f>L20+L26+L38+L32</f>
        <v>177</v>
      </c>
      <c r="M14" s="23">
        <f t="shared" si="4"/>
        <v>445.6</v>
      </c>
      <c r="N14" s="23">
        <f t="shared" si="4"/>
        <v>0</v>
      </c>
      <c r="O14" s="23">
        <f t="shared" si="4"/>
        <v>22.5</v>
      </c>
      <c r="P14" s="23">
        <f t="shared" si="4"/>
        <v>200</v>
      </c>
      <c r="Q14" s="23">
        <f t="shared" si="4"/>
        <v>0</v>
      </c>
      <c r="R14" s="23">
        <f t="shared" si="4"/>
        <v>285</v>
      </c>
      <c r="S14" s="23">
        <f t="shared" si="4"/>
        <v>241.5</v>
      </c>
      <c r="T14" s="23">
        <f t="shared" si="4"/>
        <v>117</v>
      </c>
      <c r="U14" s="23">
        <f t="shared" si="4"/>
        <v>164.9</v>
      </c>
      <c r="V14" s="23">
        <f t="shared" si="4"/>
        <v>0</v>
      </c>
      <c r="W14" s="23">
        <f t="shared" si="4"/>
        <v>60</v>
      </c>
      <c r="X14" s="23">
        <f t="shared" si="4"/>
        <v>0</v>
      </c>
      <c r="Y14" s="23">
        <f t="shared" si="4"/>
        <v>60</v>
      </c>
      <c r="Z14" s="23">
        <f t="shared" si="4"/>
        <v>850</v>
      </c>
      <c r="AA14" s="23">
        <f t="shared" si="4"/>
        <v>939.3</v>
      </c>
      <c r="AB14" s="23">
        <f t="shared" si="4"/>
        <v>0</v>
      </c>
      <c r="AC14" s="23">
        <f t="shared" si="4"/>
        <v>0</v>
      </c>
      <c r="AD14" s="23">
        <f t="shared" si="4"/>
        <v>635</v>
      </c>
      <c r="AE14" s="23">
        <f t="shared" si="4"/>
        <v>0</v>
      </c>
      <c r="AF14" s="17"/>
      <c r="AG14" s="15"/>
      <c r="AH14" s="15"/>
      <c r="AI14" s="15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</row>
    <row r="15" spans="1:62" ht="18.75" x14ac:dyDescent="0.3">
      <c r="A15" s="22" t="s">
        <v>30</v>
      </c>
      <c r="B15" s="23">
        <f t="shared" ref="B15:E16" si="5">B21+B27+B39+B33</f>
        <v>0</v>
      </c>
      <c r="C15" s="23">
        <f t="shared" si="5"/>
        <v>0</v>
      </c>
      <c r="D15" s="23">
        <f t="shared" si="5"/>
        <v>0</v>
      </c>
      <c r="E15" s="23">
        <f t="shared" si="5"/>
        <v>0</v>
      </c>
      <c r="F15" s="24" t="e">
        <f>E15/B15*100</f>
        <v>#DIV/0!</v>
      </c>
      <c r="G15" s="24" t="e">
        <f t="shared" si="3"/>
        <v>#DIV/0!</v>
      </c>
      <c r="H15" s="23">
        <f t="shared" si="4"/>
        <v>0</v>
      </c>
      <c r="I15" s="23">
        <f t="shared" si="4"/>
        <v>0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f t="shared" si="4"/>
        <v>0</v>
      </c>
      <c r="Q15" s="23">
        <f t="shared" si="4"/>
        <v>0</v>
      </c>
      <c r="R15" s="23">
        <f t="shared" si="4"/>
        <v>0</v>
      </c>
      <c r="S15" s="23">
        <f t="shared" si="4"/>
        <v>0</v>
      </c>
      <c r="T15" s="23">
        <f t="shared" si="4"/>
        <v>0</v>
      </c>
      <c r="U15" s="23">
        <f t="shared" si="4"/>
        <v>0</v>
      </c>
      <c r="V15" s="23">
        <f t="shared" si="4"/>
        <v>0</v>
      </c>
      <c r="W15" s="23">
        <f t="shared" si="4"/>
        <v>0</v>
      </c>
      <c r="X15" s="23">
        <f t="shared" si="4"/>
        <v>0</v>
      </c>
      <c r="Y15" s="23">
        <f t="shared" si="4"/>
        <v>0</v>
      </c>
      <c r="Z15" s="23">
        <f t="shared" si="4"/>
        <v>0</v>
      </c>
      <c r="AA15" s="23">
        <f t="shared" si="4"/>
        <v>0</v>
      </c>
      <c r="AB15" s="23">
        <f t="shared" si="4"/>
        <v>0</v>
      </c>
      <c r="AC15" s="23">
        <f t="shared" si="4"/>
        <v>0</v>
      </c>
      <c r="AD15" s="23">
        <f t="shared" si="4"/>
        <v>0</v>
      </c>
      <c r="AE15" s="23">
        <f t="shared" si="4"/>
        <v>0</v>
      </c>
      <c r="AF15" s="17"/>
      <c r="AG15" s="15"/>
      <c r="AH15" s="15"/>
      <c r="AI15" s="15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</row>
    <row r="16" spans="1:62" ht="18.75" x14ac:dyDescent="0.3">
      <c r="A16" s="22" t="s">
        <v>31</v>
      </c>
      <c r="B16" s="23">
        <f>B22+B28+B40+B34</f>
        <v>1120.23</v>
      </c>
      <c r="C16" s="23">
        <f>C22+C28+C40+C34</f>
        <v>1120.23</v>
      </c>
      <c r="D16" s="23">
        <f t="shared" si="5"/>
        <v>785.40000000000009</v>
      </c>
      <c r="E16" s="23">
        <f t="shared" si="5"/>
        <v>785.40000000000009</v>
      </c>
      <c r="F16" s="24">
        <f>E16/B16*100</f>
        <v>70.110602287030346</v>
      </c>
      <c r="G16" s="24">
        <f>E16/C16*100</f>
        <v>70.110602287030346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4"/>
        <v>0</v>
      </c>
      <c r="Q16" s="23">
        <f t="shared" si="4"/>
        <v>0</v>
      </c>
      <c r="R16" s="23">
        <f t="shared" si="4"/>
        <v>120.23</v>
      </c>
      <c r="S16" s="23">
        <f t="shared" si="4"/>
        <v>17.3</v>
      </c>
      <c r="T16" s="23">
        <f t="shared" si="4"/>
        <v>1000</v>
      </c>
      <c r="U16" s="23">
        <f t="shared" si="4"/>
        <v>0</v>
      </c>
      <c r="V16" s="23">
        <f t="shared" si="4"/>
        <v>0</v>
      </c>
      <c r="W16" s="23">
        <f t="shared" si="4"/>
        <v>0</v>
      </c>
      <c r="X16" s="23">
        <f t="shared" si="4"/>
        <v>0</v>
      </c>
      <c r="Y16" s="23">
        <f t="shared" si="4"/>
        <v>768.1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17"/>
      <c r="AG16" s="15"/>
      <c r="AH16" s="15"/>
      <c r="AI16" s="15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</row>
    <row r="17" spans="1:62" ht="18.75" x14ac:dyDescent="0.25">
      <c r="A17" s="105" t="s">
        <v>32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7"/>
      <c r="AF17" s="17"/>
      <c r="AG17" s="15"/>
      <c r="AH17" s="15"/>
      <c r="AI17" s="15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</row>
    <row r="18" spans="1:62" ht="18.75" x14ac:dyDescent="0.3">
      <c r="A18" s="19" t="s">
        <v>27</v>
      </c>
      <c r="B18" s="20">
        <f>H18+J18+L18+N18+P18+R18+T18+V18+X18+Z18+AB18+AD18</f>
        <v>2264.73</v>
      </c>
      <c r="C18" s="20">
        <f>SUM(C19:C22)</f>
        <v>1719.73</v>
      </c>
      <c r="D18" s="20">
        <f t="shared" ref="D18:E18" si="6">SUM(D19:D22)</f>
        <v>1496.3</v>
      </c>
      <c r="E18" s="20">
        <f t="shared" si="6"/>
        <v>1496.3</v>
      </c>
      <c r="F18" s="26">
        <f>E18/B18*100</f>
        <v>66.069686011135985</v>
      </c>
      <c r="G18" s="26">
        <f>E18/C18*100</f>
        <v>87.007844254621361</v>
      </c>
      <c r="H18" s="27">
        <f>SUM(H19:H22)</f>
        <v>200</v>
      </c>
      <c r="I18" s="27">
        <f t="shared" ref="I18:AE18" si="7">SUM(I19:I22)</f>
        <v>0</v>
      </c>
      <c r="J18" s="27">
        <f t="shared" si="7"/>
        <v>10.5</v>
      </c>
      <c r="K18" s="27">
        <f t="shared" si="7"/>
        <v>67.3</v>
      </c>
      <c r="L18" s="27">
        <f t="shared" si="7"/>
        <v>177</v>
      </c>
      <c r="M18" s="27">
        <f t="shared" si="7"/>
        <v>60.6</v>
      </c>
      <c r="N18" s="27">
        <f t="shared" si="7"/>
        <v>0</v>
      </c>
      <c r="O18" s="27">
        <f t="shared" si="7"/>
        <v>22.5</v>
      </c>
      <c r="P18" s="27">
        <f t="shared" si="7"/>
        <v>200</v>
      </c>
      <c r="Q18" s="27">
        <f t="shared" si="7"/>
        <v>0</v>
      </c>
      <c r="R18" s="27">
        <f t="shared" si="7"/>
        <v>165.23000000000002</v>
      </c>
      <c r="S18" s="27">
        <f t="shared" si="7"/>
        <v>258.8</v>
      </c>
      <c r="T18" s="27">
        <f t="shared" si="7"/>
        <v>117</v>
      </c>
      <c r="U18" s="27">
        <f t="shared" si="7"/>
        <v>44.9</v>
      </c>
      <c r="V18" s="27">
        <f t="shared" si="7"/>
        <v>0</v>
      </c>
      <c r="W18" s="27">
        <f t="shared" si="7"/>
        <v>0</v>
      </c>
      <c r="X18" s="27">
        <f t="shared" si="7"/>
        <v>0</v>
      </c>
      <c r="Y18" s="27">
        <f t="shared" si="7"/>
        <v>102.9</v>
      </c>
      <c r="Z18" s="27">
        <f t="shared" si="7"/>
        <v>850</v>
      </c>
      <c r="AA18" s="27">
        <f t="shared" si="7"/>
        <v>939.3</v>
      </c>
      <c r="AB18" s="27">
        <f t="shared" si="7"/>
        <v>0</v>
      </c>
      <c r="AC18" s="27">
        <f t="shared" si="7"/>
        <v>0</v>
      </c>
      <c r="AD18" s="27">
        <f t="shared" si="7"/>
        <v>545</v>
      </c>
      <c r="AE18" s="27">
        <f t="shared" si="7"/>
        <v>0</v>
      </c>
      <c r="AF18" s="17"/>
      <c r="AG18" s="15"/>
      <c r="AH18" s="15"/>
      <c r="AI18" s="15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</row>
    <row r="19" spans="1:62" ht="18.75" x14ac:dyDescent="0.3">
      <c r="A19" s="22" t="s">
        <v>28</v>
      </c>
      <c r="B19" s="28">
        <f>H19+J19+L19+N19+P19+R19+T19+AD19+V19+X19+Z19+AB19</f>
        <v>0</v>
      </c>
      <c r="C19" s="28">
        <f>H19</f>
        <v>0</v>
      </c>
      <c r="D19" s="29"/>
      <c r="E19" s="28">
        <f>I19+K19+M19+O19+Q19+S19+U19+W19+Y19+AA19+AC19+AE19</f>
        <v>0</v>
      </c>
      <c r="F19" s="30" t="e">
        <f>E19/B19*100</f>
        <v>#DIV/0!</v>
      </c>
      <c r="G19" s="30" t="e">
        <f>E19/C19*100</f>
        <v>#DIV/0!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17"/>
      <c r="AG19" s="15"/>
      <c r="AH19" s="15"/>
      <c r="AI19" s="15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</row>
    <row r="20" spans="1:62" ht="37.5" x14ac:dyDescent="0.3">
      <c r="A20" s="22" t="s">
        <v>29</v>
      </c>
      <c r="B20" s="28">
        <f>H20+J20+L20+N20+P20+R20+T20+AD20+V20+X20+Z20+AB20</f>
        <v>2144.5</v>
      </c>
      <c r="C20" s="28">
        <f>H20+J20+L20+N20+P20+R20+T20+Z20</f>
        <v>1599.5</v>
      </c>
      <c r="D20" s="29">
        <f>E20</f>
        <v>1376.1</v>
      </c>
      <c r="E20" s="28">
        <f>I20+K20+M20+O20+Q20+S20+U20+W20+Y20+AA20+AC20+AE20</f>
        <v>1376.1</v>
      </c>
      <c r="F20" s="30">
        <f>E20/B20*100</f>
        <v>64.168803916996964</v>
      </c>
      <c r="G20" s="30">
        <f>E20/C20*100</f>
        <v>86.033135354798375</v>
      </c>
      <c r="H20" s="28">
        <v>200</v>
      </c>
      <c r="I20" s="28"/>
      <c r="J20" s="28">
        <v>10.5</v>
      </c>
      <c r="K20" s="28">
        <v>67.3</v>
      </c>
      <c r="L20" s="28">
        <v>177</v>
      </c>
      <c r="M20" s="28">
        <v>60.6</v>
      </c>
      <c r="N20" s="28"/>
      <c r="O20" s="27">
        <v>22.5</v>
      </c>
      <c r="P20" s="29">
        <v>200</v>
      </c>
      <c r="Q20" s="29"/>
      <c r="R20" s="29">
        <v>45</v>
      </c>
      <c r="S20" s="29">
        <v>241.5</v>
      </c>
      <c r="T20" s="29">
        <v>117</v>
      </c>
      <c r="U20" s="29">
        <v>44.9</v>
      </c>
      <c r="V20" s="29"/>
      <c r="W20" s="29"/>
      <c r="X20" s="29"/>
      <c r="Y20" s="29"/>
      <c r="Z20" s="29">
        <v>850</v>
      </c>
      <c r="AA20" s="29">
        <v>939.3</v>
      </c>
      <c r="AB20" s="29"/>
      <c r="AC20" s="29"/>
      <c r="AD20" s="29">
        <f>662-117</f>
        <v>545</v>
      </c>
      <c r="AE20" s="27"/>
      <c r="AF20" s="17" t="s">
        <v>124</v>
      </c>
      <c r="AG20" s="15">
        <f>C20-D20</f>
        <v>223.40000000000009</v>
      </c>
      <c r="AH20" s="15"/>
      <c r="AI20" s="15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18.75" x14ac:dyDescent="0.3">
      <c r="A21" s="22" t="s">
        <v>30</v>
      </c>
      <c r="B21" s="28">
        <f>H21+J21+L21+N21+P21+R21+T21+AD21+V21+X21+Z21+AB21</f>
        <v>0</v>
      </c>
      <c r="C21" s="28">
        <f t="shared" ref="C21" si="8">H21+J21+L21+N21+P21+R21+T21</f>
        <v>0</v>
      </c>
      <c r="D21" s="28"/>
      <c r="E21" s="28">
        <f t="shared" ref="E21:E22" si="9">I21+K21+M21+O21+Q21+S21+U21+W21+Y21+AA21+AC21+AE21</f>
        <v>0</v>
      </c>
      <c r="F21" s="30" t="e">
        <f>E21/B21*100</f>
        <v>#DIV/0!</v>
      </c>
      <c r="G21" s="30" t="e">
        <f>E21/C21*100</f>
        <v>#DIV/0!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7"/>
      <c r="AG21" s="15"/>
      <c r="AH21" s="15"/>
      <c r="AI21" s="15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</row>
    <row r="22" spans="1:62" ht="18.75" x14ac:dyDescent="0.3">
      <c r="A22" s="22" t="s">
        <v>31</v>
      </c>
      <c r="B22" s="28">
        <f>H22+J22+L22+N22+P22+R22+T22+AD22+V22+X22+Z22+AB22</f>
        <v>120.23</v>
      </c>
      <c r="C22" s="28">
        <f>H22+J22+L22+N22+P22+R22</f>
        <v>120.23</v>
      </c>
      <c r="D22" s="29">
        <f>E22</f>
        <v>120.2</v>
      </c>
      <c r="E22" s="28">
        <f t="shared" si="9"/>
        <v>120.2</v>
      </c>
      <c r="F22" s="30">
        <f>E22/B22*100</f>
        <v>99.975047825002079</v>
      </c>
      <c r="G22" s="30">
        <f>E22/C22*100</f>
        <v>99.975047825002079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v>120.23</v>
      </c>
      <c r="S22" s="27">
        <v>17.3</v>
      </c>
      <c r="T22" s="27"/>
      <c r="U22" s="27"/>
      <c r="V22" s="27"/>
      <c r="W22" s="27"/>
      <c r="X22" s="27"/>
      <c r="Y22" s="27">
        <v>102.9</v>
      </c>
      <c r="Z22" s="27"/>
      <c r="AA22" s="27"/>
      <c r="AB22" s="27"/>
      <c r="AC22" s="27"/>
      <c r="AD22" s="27"/>
      <c r="AE22" s="27"/>
      <c r="AF22" s="17"/>
      <c r="AG22" s="15"/>
      <c r="AH22" s="15"/>
      <c r="AI22" s="15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</row>
    <row r="23" spans="1:62" ht="18.75" x14ac:dyDescent="0.25">
      <c r="A23" s="105" t="s">
        <v>33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7"/>
      <c r="AF23" s="111" t="s">
        <v>118</v>
      </c>
      <c r="AG23" s="15"/>
      <c r="AH23" s="15"/>
      <c r="AI23" s="15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</row>
    <row r="24" spans="1:62" ht="18.75" x14ac:dyDescent="0.3">
      <c r="A24" s="19" t="s">
        <v>27</v>
      </c>
      <c r="B24" s="20">
        <f>H24+J24+L24+N24+P24+R24+T24+V24+X24+Z24+AB24+AD24</f>
        <v>715</v>
      </c>
      <c r="C24" s="20">
        <f>SUM(C25:C28)</f>
        <v>625</v>
      </c>
      <c r="D24" s="20">
        <f t="shared" ref="D24:E24" si="10">SUM(D25:D28)</f>
        <v>625</v>
      </c>
      <c r="E24" s="20">
        <f t="shared" si="10"/>
        <v>625</v>
      </c>
      <c r="F24" s="21">
        <f>E24/B24*100</f>
        <v>87.412587412587413</v>
      </c>
      <c r="G24" s="21">
        <f>E24/C24*100</f>
        <v>100</v>
      </c>
      <c r="H24" s="13">
        <f>SUM(H25:H28)</f>
        <v>0</v>
      </c>
      <c r="I24" s="13">
        <f t="shared" ref="I24:AE24" si="11">SUM(I25:I28)</f>
        <v>0</v>
      </c>
      <c r="J24" s="13">
        <f t="shared" si="11"/>
        <v>385</v>
      </c>
      <c r="K24" s="13">
        <f t="shared" si="11"/>
        <v>0</v>
      </c>
      <c r="L24" s="13">
        <f t="shared" si="11"/>
        <v>0</v>
      </c>
      <c r="M24" s="13">
        <f t="shared" si="11"/>
        <v>385</v>
      </c>
      <c r="N24" s="13">
        <f t="shared" si="11"/>
        <v>0</v>
      </c>
      <c r="O24" s="13">
        <f t="shared" si="11"/>
        <v>0</v>
      </c>
      <c r="P24" s="13">
        <f t="shared" si="11"/>
        <v>0</v>
      </c>
      <c r="Q24" s="13">
        <f t="shared" si="11"/>
        <v>0</v>
      </c>
      <c r="R24" s="13">
        <f t="shared" si="11"/>
        <v>240</v>
      </c>
      <c r="S24" s="13">
        <f t="shared" si="11"/>
        <v>0</v>
      </c>
      <c r="T24" s="13">
        <f t="shared" si="11"/>
        <v>0</v>
      </c>
      <c r="U24" s="13">
        <f t="shared" si="11"/>
        <v>120</v>
      </c>
      <c r="V24" s="13">
        <f t="shared" si="11"/>
        <v>0</v>
      </c>
      <c r="W24" s="13">
        <f t="shared" si="11"/>
        <v>60</v>
      </c>
      <c r="X24" s="13">
        <f t="shared" si="11"/>
        <v>0</v>
      </c>
      <c r="Y24" s="13">
        <f t="shared" si="11"/>
        <v>60</v>
      </c>
      <c r="Z24" s="13">
        <f t="shared" si="11"/>
        <v>0</v>
      </c>
      <c r="AA24" s="13">
        <f t="shared" si="11"/>
        <v>0</v>
      </c>
      <c r="AB24" s="13">
        <f t="shared" si="11"/>
        <v>0</v>
      </c>
      <c r="AC24" s="13">
        <f t="shared" si="11"/>
        <v>0</v>
      </c>
      <c r="AD24" s="13">
        <f t="shared" si="11"/>
        <v>90</v>
      </c>
      <c r="AE24" s="13">
        <f t="shared" si="11"/>
        <v>0</v>
      </c>
      <c r="AF24" s="112"/>
      <c r="AG24" s="15"/>
      <c r="AH24" s="15"/>
      <c r="AI24" s="15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</row>
    <row r="25" spans="1:62" ht="18.75" x14ac:dyDescent="0.3">
      <c r="A25" s="22" t="s">
        <v>28</v>
      </c>
      <c r="B25" s="28">
        <f>H25+J25+L25+N25+P25+R25+T25+V25+X25+Z25+AB25+AD25</f>
        <v>0</v>
      </c>
      <c r="C25" s="29">
        <f>H25</f>
        <v>0</v>
      </c>
      <c r="D25" s="29"/>
      <c r="E25" s="28">
        <f>I25+K25+M25+O25+Q25+S25+U25+W25+Y25+AA25+AC25+AE25</f>
        <v>0</v>
      </c>
      <c r="F25" s="24" t="e">
        <f>E25/B25*100</f>
        <v>#DIV/0!</v>
      </c>
      <c r="G25" s="24" t="e">
        <f>E25/C25*100</f>
        <v>#DIV/0!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12"/>
      <c r="AG25" s="15"/>
      <c r="AH25" s="15"/>
      <c r="AI25" s="15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</row>
    <row r="26" spans="1:62" ht="18.75" x14ac:dyDescent="0.3">
      <c r="A26" s="22" t="s">
        <v>29</v>
      </c>
      <c r="B26" s="28">
        <f>H26+J26+L26+N26+P26+R26+T26+V26+X26+Z26+AB26+AD26</f>
        <v>715</v>
      </c>
      <c r="C26" s="28">
        <f>H26+J26+L26+N26+P26+R26+X26</f>
        <v>625</v>
      </c>
      <c r="D26" s="29">
        <f>E26</f>
        <v>625</v>
      </c>
      <c r="E26" s="28">
        <f>I26+K26+M26+O26+Q26+S26+U26+W26+Y26+AA26+AC26+AE26</f>
        <v>625</v>
      </c>
      <c r="F26" s="25">
        <f>E26/B26*100</f>
        <v>87.412587412587413</v>
      </c>
      <c r="G26" s="25">
        <f>E26/C26*100</f>
        <v>100</v>
      </c>
      <c r="H26" s="13"/>
      <c r="I26" s="13"/>
      <c r="J26" s="23">
        <v>385</v>
      </c>
      <c r="K26" s="23"/>
      <c r="L26" s="23"/>
      <c r="M26" s="23">
        <v>385</v>
      </c>
      <c r="N26" s="23"/>
      <c r="O26" s="23"/>
      <c r="P26" s="23"/>
      <c r="Q26" s="23"/>
      <c r="R26" s="23">
        <v>240</v>
      </c>
      <c r="S26" s="13"/>
      <c r="T26" s="13"/>
      <c r="U26" s="13">
        <v>120</v>
      </c>
      <c r="V26" s="13"/>
      <c r="W26" s="13">
        <v>60</v>
      </c>
      <c r="X26" s="13"/>
      <c r="Y26" s="13">
        <v>60</v>
      </c>
      <c r="Z26" s="13"/>
      <c r="AA26" s="13"/>
      <c r="AB26" s="23"/>
      <c r="AC26" s="13"/>
      <c r="AD26" s="13">
        <v>90</v>
      </c>
      <c r="AE26" s="13"/>
      <c r="AF26" s="113"/>
      <c r="AG26" s="15">
        <f>C26-D26</f>
        <v>0</v>
      </c>
      <c r="AH26" s="15"/>
      <c r="AI26" s="15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</row>
    <row r="27" spans="1:62" ht="18.75" x14ac:dyDescent="0.3">
      <c r="A27" s="22" t="s">
        <v>30</v>
      </c>
      <c r="B27" s="28">
        <f>H27+J27+L27+N27+P27+R27+T27+V27+X27+Z27+AB27+AD27</f>
        <v>0</v>
      </c>
      <c r="C27" s="29">
        <f t="shared" ref="C27:C28" si="12">H27</f>
        <v>0</v>
      </c>
      <c r="D27" s="29"/>
      <c r="E27" s="28">
        <f t="shared" ref="E27:E28" si="13">I27+K27+M27+O27+Q27+S27+U27+W27+Y27+AA27+AC27+AE27</f>
        <v>0</v>
      </c>
      <c r="F27" s="24" t="e">
        <f t="shared" ref="F27:F28" si="14">E27/B27*100</f>
        <v>#DIV/0!</v>
      </c>
      <c r="G27" s="24" t="e">
        <f t="shared" ref="G27:G28" si="15">E27/C27*100</f>
        <v>#DIV/0!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7"/>
      <c r="AG27" s="15"/>
      <c r="AH27" s="15"/>
      <c r="AI27" s="15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1:62" ht="18.75" x14ac:dyDescent="0.3">
      <c r="A28" s="22" t="s">
        <v>31</v>
      </c>
      <c r="B28" s="28">
        <f>H28+J28+L28+N28+P28+R28+T28+V28+X28+Z28+AB28+AD28</f>
        <v>0</v>
      </c>
      <c r="C28" s="29">
        <f t="shared" si="12"/>
        <v>0</v>
      </c>
      <c r="D28" s="29"/>
      <c r="E28" s="28">
        <f t="shared" si="13"/>
        <v>0</v>
      </c>
      <c r="F28" s="24" t="e">
        <f t="shared" si="14"/>
        <v>#DIV/0!</v>
      </c>
      <c r="G28" s="24" t="e">
        <f t="shared" si="15"/>
        <v>#DIV/0!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7"/>
      <c r="AG28" s="15"/>
      <c r="AH28" s="15"/>
      <c r="AI28" s="15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ht="18.75" x14ac:dyDescent="0.25">
      <c r="A29" s="105" t="s">
        <v>34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7"/>
      <c r="AF29" s="111"/>
      <c r="AG29" s="15"/>
      <c r="AH29" s="15"/>
      <c r="AI29" s="15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</row>
    <row r="30" spans="1:62" ht="18.75" x14ac:dyDescent="0.3">
      <c r="A30" s="19" t="s">
        <v>27</v>
      </c>
      <c r="B30" s="20">
        <f>H30+J30+L30+N30+P30+R30+T30+V30+X30+Z30+AB30+AD30</f>
        <v>0</v>
      </c>
      <c r="C30" s="20">
        <f>SUM(C31:C34)</f>
        <v>0</v>
      </c>
      <c r="D30" s="20">
        <f t="shared" ref="D30:E30" si="16">SUM(D31:D34)</f>
        <v>0</v>
      </c>
      <c r="E30" s="20">
        <f t="shared" si="16"/>
        <v>0</v>
      </c>
      <c r="F30" s="21" t="e">
        <f>E30/B30*100</f>
        <v>#DIV/0!</v>
      </c>
      <c r="G30" s="21" t="e">
        <f>E30/C30*100</f>
        <v>#DIV/0!</v>
      </c>
      <c r="H30" s="13">
        <f>SUM(H31:H34)</f>
        <v>0</v>
      </c>
      <c r="I30" s="13">
        <f t="shared" ref="I30:AE30" si="17">SUM(I31:I34)</f>
        <v>0</v>
      </c>
      <c r="J30" s="13">
        <f t="shared" si="17"/>
        <v>0</v>
      </c>
      <c r="K30" s="13">
        <f t="shared" si="17"/>
        <v>0</v>
      </c>
      <c r="L30" s="13">
        <f t="shared" si="17"/>
        <v>0</v>
      </c>
      <c r="M30" s="13">
        <f t="shared" si="17"/>
        <v>0</v>
      </c>
      <c r="N30" s="13">
        <f t="shared" si="17"/>
        <v>0</v>
      </c>
      <c r="O30" s="13">
        <f t="shared" si="17"/>
        <v>0</v>
      </c>
      <c r="P30" s="13">
        <f t="shared" si="17"/>
        <v>0</v>
      </c>
      <c r="Q30" s="13">
        <f t="shared" si="17"/>
        <v>0</v>
      </c>
      <c r="R30" s="13">
        <f t="shared" si="17"/>
        <v>0</v>
      </c>
      <c r="S30" s="13">
        <f t="shared" si="17"/>
        <v>0</v>
      </c>
      <c r="T30" s="13">
        <f t="shared" si="17"/>
        <v>0</v>
      </c>
      <c r="U30" s="13">
        <f t="shared" si="17"/>
        <v>0</v>
      </c>
      <c r="V30" s="13">
        <f t="shared" si="17"/>
        <v>0</v>
      </c>
      <c r="W30" s="13">
        <f t="shared" si="17"/>
        <v>0</v>
      </c>
      <c r="X30" s="13">
        <f t="shared" si="17"/>
        <v>0</v>
      </c>
      <c r="Y30" s="13">
        <f t="shared" si="17"/>
        <v>0</v>
      </c>
      <c r="Z30" s="13">
        <f t="shared" si="17"/>
        <v>0</v>
      </c>
      <c r="AA30" s="13">
        <f t="shared" si="17"/>
        <v>0</v>
      </c>
      <c r="AB30" s="13">
        <f t="shared" si="17"/>
        <v>0</v>
      </c>
      <c r="AC30" s="13">
        <f t="shared" si="17"/>
        <v>0</v>
      </c>
      <c r="AD30" s="13">
        <f t="shared" si="17"/>
        <v>0</v>
      </c>
      <c r="AE30" s="13">
        <f t="shared" si="17"/>
        <v>0</v>
      </c>
      <c r="AF30" s="112"/>
      <c r="AG30" s="15"/>
      <c r="AH30" s="15"/>
      <c r="AI30" s="15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</row>
    <row r="31" spans="1:62" ht="18.75" x14ac:dyDescent="0.3">
      <c r="A31" s="22" t="s">
        <v>28</v>
      </c>
      <c r="B31" s="28">
        <f>H31+J31+L31+N31+P31+R31+T31+V31+X31+Z31+AB31+AD31</f>
        <v>0</v>
      </c>
      <c r="C31" s="29">
        <f>H31</f>
        <v>0</v>
      </c>
      <c r="D31" s="29"/>
      <c r="E31" s="28">
        <f>I31+K31+M31+O31+Q31+S31+U31+W31+Y31+AA31+AC31+AE31</f>
        <v>0</v>
      </c>
      <c r="F31" s="24" t="e">
        <f>E31/B31*100</f>
        <v>#DIV/0!</v>
      </c>
      <c r="G31" s="24" t="e">
        <f>E31/C31*100</f>
        <v>#DIV/0!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12"/>
      <c r="AG31" s="15"/>
      <c r="AH31" s="15"/>
      <c r="AI31" s="15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</row>
    <row r="32" spans="1:62" ht="18.75" x14ac:dyDescent="0.3">
      <c r="A32" s="22" t="s">
        <v>29</v>
      </c>
      <c r="B32" s="28">
        <f>H32+J32+L32+N32+P32+R32+T32+V32+X32+Z32+AB32+AD32</f>
        <v>0</v>
      </c>
      <c r="C32" s="29">
        <f t="shared" ref="C32:C34" si="18">H32</f>
        <v>0</v>
      </c>
      <c r="D32" s="29"/>
      <c r="E32" s="28">
        <f>I32+K32+M32+O32+Q32+S32+U32+W32+Y32+AA32+AC32+AE32</f>
        <v>0</v>
      </c>
      <c r="F32" s="24" t="e">
        <f>E32/B32*100</f>
        <v>#DIV/0!</v>
      </c>
      <c r="G32" s="24" t="e">
        <f>E32/C32*100</f>
        <v>#DIV/0!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23"/>
      <c r="AC32" s="13"/>
      <c r="AD32" s="13"/>
      <c r="AE32" s="13"/>
      <c r="AF32" s="113"/>
      <c r="AG32" s="15"/>
      <c r="AH32" s="15"/>
      <c r="AI32" s="15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</row>
    <row r="33" spans="1:62" ht="18.75" x14ac:dyDescent="0.3">
      <c r="A33" s="22" t="s">
        <v>30</v>
      </c>
      <c r="B33" s="28">
        <f>H33+J33+L33+N33+P33+R33+T33+V33+X33+Z33+AB33+AD33</f>
        <v>0</v>
      </c>
      <c r="C33" s="29">
        <f t="shared" si="18"/>
        <v>0</v>
      </c>
      <c r="D33" s="29"/>
      <c r="E33" s="28">
        <f t="shared" ref="E33:E34" si="19">I33+K33+M33+O33+Q33+S33+U33+W33+Y33+AA33+AC33+AE33</f>
        <v>0</v>
      </c>
      <c r="F33" s="24" t="e">
        <f t="shared" ref="F33:F34" si="20">E33/B33*100</f>
        <v>#DIV/0!</v>
      </c>
      <c r="G33" s="24" t="e">
        <f t="shared" ref="G33:G34" si="21">E33/C33*100</f>
        <v>#DIV/0!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7"/>
      <c r="AG33" s="15"/>
      <c r="AH33" s="15"/>
      <c r="AI33" s="15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</row>
    <row r="34" spans="1:62" ht="18.75" x14ac:dyDescent="0.3">
      <c r="A34" s="22" t="s">
        <v>31</v>
      </c>
      <c r="B34" s="28">
        <f>H34+J34+L34+N34+P34+R34+T34+V34+X34+Z34+AB34+AD34</f>
        <v>0</v>
      </c>
      <c r="C34" s="29">
        <f t="shared" si="18"/>
        <v>0</v>
      </c>
      <c r="D34" s="29"/>
      <c r="E34" s="28">
        <f t="shared" si="19"/>
        <v>0</v>
      </c>
      <c r="F34" s="24" t="e">
        <f t="shared" si="20"/>
        <v>#DIV/0!</v>
      </c>
      <c r="G34" s="24" t="e">
        <f t="shared" si="21"/>
        <v>#DIV/0!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7"/>
      <c r="AG34" s="15"/>
      <c r="AH34" s="15"/>
      <c r="AI34" s="15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</row>
    <row r="35" spans="1:62" ht="18.75" x14ac:dyDescent="0.25">
      <c r="A35" s="105" t="s">
        <v>35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7"/>
      <c r="AF35" s="114" t="s">
        <v>114</v>
      </c>
      <c r="AG35" s="15"/>
      <c r="AH35" s="15"/>
      <c r="AI35" s="15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</row>
    <row r="36" spans="1:62" ht="18.75" x14ac:dyDescent="0.3">
      <c r="A36" s="19" t="s">
        <v>27</v>
      </c>
      <c r="B36" s="20">
        <f>H36+J36+L36+N36+P36+R36+T36+V36+X36+Z36+AB36+AD36</f>
        <v>1000</v>
      </c>
      <c r="C36" s="20">
        <f>SUM(C37:C40)</f>
        <v>1000</v>
      </c>
      <c r="D36" s="20">
        <f t="shared" ref="D36:E36" si="22">SUM(D37:D40)</f>
        <v>665.2</v>
      </c>
      <c r="E36" s="20">
        <f t="shared" si="22"/>
        <v>665.2</v>
      </c>
      <c r="F36" s="21">
        <f>E36/B36*100</f>
        <v>66.52</v>
      </c>
      <c r="G36" s="21">
        <f>E36/C36*100</f>
        <v>66.52</v>
      </c>
      <c r="H36" s="13">
        <f>SUM(H37:H40)</f>
        <v>0</v>
      </c>
      <c r="I36" s="13">
        <f t="shared" ref="I36:AE36" si="23">SUM(I37:I40)</f>
        <v>0</v>
      </c>
      <c r="J36" s="13">
        <f t="shared" si="23"/>
        <v>0</v>
      </c>
      <c r="K36" s="13">
        <f t="shared" si="23"/>
        <v>0</v>
      </c>
      <c r="L36" s="13">
        <f t="shared" si="23"/>
        <v>0</v>
      </c>
      <c r="M36" s="13">
        <f t="shared" si="23"/>
        <v>0</v>
      </c>
      <c r="N36" s="13">
        <f t="shared" si="23"/>
        <v>0</v>
      </c>
      <c r="O36" s="13">
        <f t="shared" si="23"/>
        <v>0</v>
      </c>
      <c r="P36" s="13">
        <f t="shared" si="23"/>
        <v>0</v>
      </c>
      <c r="Q36" s="13">
        <f t="shared" si="23"/>
        <v>0</v>
      </c>
      <c r="R36" s="13">
        <f t="shared" si="23"/>
        <v>0</v>
      </c>
      <c r="S36" s="13">
        <f t="shared" si="23"/>
        <v>0</v>
      </c>
      <c r="T36" s="13">
        <f t="shared" si="23"/>
        <v>1000</v>
      </c>
      <c r="U36" s="13">
        <f t="shared" si="23"/>
        <v>0</v>
      </c>
      <c r="V36" s="13">
        <f t="shared" si="23"/>
        <v>0</v>
      </c>
      <c r="W36" s="13">
        <f t="shared" si="23"/>
        <v>0</v>
      </c>
      <c r="X36" s="13">
        <f t="shared" si="23"/>
        <v>0</v>
      </c>
      <c r="Y36" s="13">
        <f t="shared" si="23"/>
        <v>665.2</v>
      </c>
      <c r="Z36" s="13">
        <f t="shared" si="23"/>
        <v>0</v>
      </c>
      <c r="AA36" s="13">
        <f t="shared" si="23"/>
        <v>0</v>
      </c>
      <c r="AB36" s="13">
        <f t="shared" si="23"/>
        <v>0</v>
      </c>
      <c r="AC36" s="13">
        <f t="shared" si="23"/>
        <v>0</v>
      </c>
      <c r="AD36" s="13">
        <f t="shared" si="23"/>
        <v>0</v>
      </c>
      <c r="AE36" s="13">
        <f t="shared" si="23"/>
        <v>0</v>
      </c>
      <c r="AF36" s="115"/>
      <c r="AG36" s="15"/>
      <c r="AH36" s="15"/>
      <c r="AI36" s="15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</row>
    <row r="37" spans="1:62" ht="18.75" x14ac:dyDescent="0.3">
      <c r="A37" s="22" t="s">
        <v>28</v>
      </c>
      <c r="B37" s="28">
        <f t="shared" ref="B37:B39" si="24">H37+J37+L37+N37+P37+R37+T37+V37+X37+Z37+AB37+AD37</f>
        <v>0</v>
      </c>
      <c r="C37" s="29">
        <f>H37</f>
        <v>0</v>
      </c>
      <c r="D37" s="29"/>
      <c r="E37" s="28">
        <f t="shared" ref="E37:E39" si="25">I37+K37+M37+O37+Q37+S37+U37+W37+Y37+AA37+AC37+AE37</f>
        <v>0</v>
      </c>
      <c r="F37" s="24" t="e">
        <f t="shared" ref="F37:F39" si="26">E37/B37*100</f>
        <v>#DIV/0!</v>
      </c>
      <c r="G37" s="24" t="e">
        <f t="shared" ref="G37:G39" si="27">E37/C37*100</f>
        <v>#DIV/0!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15"/>
      <c r="AG37" s="15"/>
      <c r="AH37" s="15"/>
      <c r="AI37" s="15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</row>
    <row r="38" spans="1:62" ht="18.75" x14ac:dyDescent="0.3">
      <c r="A38" s="22" t="s">
        <v>29</v>
      </c>
      <c r="B38" s="28">
        <f t="shared" si="24"/>
        <v>0</v>
      </c>
      <c r="C38" s="29">
        <f t="shared" ref="C38:C39" si="28">H38</f>
        <v>0</v>
      </c>
      <c r="D38" s="28"/>
      <c r="E38" s="28">
        <f t="shared" si="25"/>
        <v>0</v>
      </c>
      <c r="F38" s="24" t="e">
        <f t="shared" si="26"/>
        <v>#DIV/0!</v>
      </c>
      <c r="G38" s="24" t="e">
        <f t="shared" si="27"/>
        <v>#DIV/0!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15"/>
      <c r="AG38" s="15"/>
      <c r="AH38" s="15"/>
      <c r="AI38" s="15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</row>
    <row r="39" spans="1:62" ht="18.75" x14ac:dyDescent="0.3">
      <c r="A39" s="22" t="s">
        <v>30</v>
      </c>
      <c r="B39" s="28">
        <f t="shared" si="24"/>
        <v>0</v>
      </c>
      <c r="C39" s="29">
        <f t="shared" si="28"/>
        <v>0</v>
      </c>
      <c r="D39" s="29"/>
      <c r="E39" s="28">
        <f t="shared" si="25"/>
        <v>0</v>
      </c>
      <c r="F39" s="24" t="e">
        <f t="shared" si="26"/>
        <v>#DIV/0!</v>
      </c>
      <c r="G39" s="24" t="e">
        <f t="shared" si="27"/>
        <v>#DIV/0!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15"/>
      <c r="AG39" s="15"/>
      <c r="AH39" s="15"/>
      <c r="AI39" s="15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</row>
    <row r="40" spans="1:62" ht="18.75" x14ac:dyDescent="0.3">
      <c r="A40" s="22" t="s">
        <v>31</v>
      </c>
      <c r="B40" s="28">
        <f>H40+J40+L40+N40+P40+R40+T40+V40+X40+Z40+AB40+AD40</f>
        <v>1000</v>
      </c>
      <c r="C40" s="28">
        <f>H40+J40+L40+N40+P40+R40+T40+V40+X40+Z40+AB40</f>
        <v>1000</v>
      </c>
      <c r="D40" s="29">
        <f>E40</f>
        <v>665.2</v>
      </c>
      <c r="E40" s="31">
        <f>I40+K40+M40+O40+Q40+S40+U40+W40+Y40+AA40+AC40+AE40</f>
        <v>665.2</v>
      </c>
      <c r="F40" s="25">
        <f>E40/B40*100</f>
        <v>66.52</v>
      </c>
      <c r="G40" s="25">
        <f>E40/C40*100</f>
        <v>66.52</v>
      </c>
      <c r="H40" s="7"/>
      <c r="I40" s="7"/>
      <c r="J40" s="8"/>
      <c r="K40" s="7"/>
      <c r="L40" s="8"/>
      <c r="M40" s="13"/>
      <c r="N40" s="23"/>
      <c r="O40" s="23"/>
      <c r="P40" s="23"/>
      <c r="Q40" s="23"/>
      <c r="R40" s="23"/>
      <c r="S40" s="23"/>
      <c r="T40" s="23">
        <v>1000</v>
      </c>
      <c r="U40" s="23"/>
      <c r="V40" s="23"/>
      <c r="W40" s="23"/>
      <c r="X40" s="23"/>
      <c r="Y40" s="23">
        <v>665.2</v>
      </c>
      <c r="Z40" s="23"/>
      <c r="AA40" s="23"/>
      <c r="AB40" s="23"/>
      <c r="AC40" s="23"/>
      <c r="AD40" s="23"/>
      <c r="AE40" s="13"/>
      <c r="AF40" s="116"/>
      <c r="AG40" s="15"/>
      <c r="AH40" s="15"/>
      <c r="AI40" s="15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</row>
    <row r="41" spans="1:62" ht="20.25" x14ac:dyDescent="0.25">
      <c r="A41" s="108" t="s">
        <v>36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10"/>
      <c r="AF41" s="32"/>
      <c r="AG41" s="15"/>
      <c r="AH41" s="15"/>
      <c r="AI41" s="15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</row>
    <row r="42" spans="1:62" ht="18.75" x14ac:dyDescent="0.3">
      <c r="A42" s="19" t="s">
        <v>27</v>
      </c>
      <c r="B42" s="20">
        <f>H42+J42+L42+N42+P42+R42+T42+V42+X42+Z42+AB42+AD42</f>
        <v>81179.299999999988</v>
      </c>
      <c r="C42" s="27">
        <f>SUM(C43:C46)</f>
        <v>74617.799999999988</v>
      </c>
      <c r="D42" s="27">
        <f t="shared" ref="D42:E42" si="29">SUM(D43:D46)</f>
        <v>74617.799999999988</v>
      </c>
      <c r="E42" s="27">
        <f t="shared" si="29"/>
        <v>74617.799999999988</v>
      </c>
      <c r="F42" s="21">
        <f>E42/B42*100</f>
        <v>91.917274477606981</v>
      </c>
      <c r="G42" s="21">
        <f>E42/C42*100</f>
        <v>100</v>
      </c>
      <c r="H42" s="13">
        <f>SUM(H43:H46)</f>
        <v>8758.4</v>
      </c>
      <c r="I42" s="13">
        <f t="shared" ref="I42:AE42" si="30">SUM(I43:I46)</f>
        <v>8758.4</v>
      </c>
      <c r="J42" s="13">
        <f t="shared" si="30"/>
        <v>9653.7000000000007</v>
      </c>
      <c r="K42" s="13">
        <f t="shared" si="30"/>
        <v>9653.7000000000007</v>
      </c>
      <c r="L42" s="13">
        <f t="shared" si="30"/>
        <v>6933.1</v>
      </c>
      <c r="M42" s="13">
        <f t="shared" si="30"/>
        <v>6933.1</v>
      </c>
      <c r="N42" s="13">
        <f t="shared" si="30"/>
        <v>13039.4</v>
      </c>
      <c r="O42" s="13">
        <f t="shared" si="30"/>
        <v>13039.4</v>
      </c>
      <c r="P42" s="13">
        <f t="shared" si="30"/>
        <v>8298.1</v>
      </c>
      <c r="Q42" s="13">
        <f t="shared" si="30"/>
        <v>8298.1</v>
      </c>
      <c r="R42" s="13">
        <f t="shared" si="30"/>
        <v>8105.9000000000005</v>
      </c>
      <c r="S42" s="13">
        <f t="shared" si="30"/>
        <v>8105.9</v>
      </c>
      <c r="T42" s="13">
        <f t="shared" si="30"/>
        <v>5697</v>
      </c>
      <c r="U42" s="13">
        <f t="shared" si="30"/>
        <v>5697</v>
      </c>
      <c r="V42" s="13">
        <f t="shared" si="30"/>
        <v>4718.8999999999996</v>
      </c>
      <c r="W42" s="13">
        <f t="shared" si="30"/>
        <v>4718.8999999999996</v>
      </c>
      <c r="X42" s="13">
        <f t="shared" si="30"/>
        <v>5288.9</v>
      </c>
      <c r="Y42" s="13">
        <f t="shared" si="30"/>
        <v>5128.8999999999996</v>
      </c>
      <c r="Z42" s="13">
        <f t="shared" si="30"/>
        <v>4124.3999999999996</v>
      </c>
      <c r="AA42" s="13">
        <f t="shared" si="30"/>
        <v>4284.3999999999996</v>
      </c>
      <c r="AB42" s="13">
        <f t="shared" si="30"/>
        <v>3258.6</v>
      </c>
      <c r="AC42" s="13">
        <f t="shared" si="30"/>
        <v>0</v>
      </c>
      <c r="AD42" s="13">
        <f t="shared" si="30"/>
        <v>3302.9</v>
      </c>
      <c r="AE42" s="13">
        <f t="shared" si="30"/>
        <v>0</v>
      </c>
      <c r="AF42" s="32"/>
      <c r="AG42" s="15"/>
      <c r="AH42" s="15"/>
      <c r="AI42" s="15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</row>
    <row r="43" spans="1:62" ht="18.75" x14ac:dyDescent="0.3">
      <c r="A43" s="22" t="s">
        <v>28</v>
      </c>
      <c r="B43" s="28">
        <f t="shared" ref="B43:E46" si="31">B49</f>
        <v>440</v>
      </c>
      <c r="C43" s="28">
        <f t="shared" si="31"/>
        <v>440</v>
      </c>
      <c r="D43" s="28">
        <f t="shared" si="31"/>
        <v>440</v>
      </c>
      <c r="E43" s="28">
        <f t="shared" si="31"/>
        <v>440</v>
      </c>
      <c r="F43" s="24">
        <f>E43/B43*100</f>
        <v>100</v>
      </c>
      <c r="G43" s="24">
        <f>E43/C43*100</f>
        <v>100</v>
      </c>
      <c r="H43" s="28">
        <f>H49</f>
        <v>0</v>
      </c>
      <c r="I43" s="28">
        <f t="shared" ref="I43:AE46" si="32">I49</f>
        <v>0</v>
      </c>
      <c r="J43" s="28">
        <f t="shared" si="32"/>
        <v>0</v>
      </c>
      <c r="K43" s="28">
        <f t="shared" si="32"/>
        <v>0</v>
      </c>
      <c r="L43" s="28">
        <f t="shared" si="32"/>
        <v>0</v>
      </c>
      <c r="M43" s="28">
        <f t="shared" si="32"/>
        <v>0</v>
      </c>
      <c r="N43" s="28">
        <f t="shared" si="32"/>
        <v>0</v>
      </c>
      <c r="O43" s="28">
        <f t="shared" si="32"/>
        <v>0</v>
      </c>
      <c r="P43" s="28">
        <f t="shared" si="32"/>
        <v>0</v>
      </c>
      <c r="Q43" s="28">
        <f t="shared" si="32"/>
        <v>0</v>
      </c>
      <c r="R43" s="28">
        <f t="shared" si="32"/>
        <v>0</v>
      </c>
      <c r="S43" s="28">
        <f t="shared" si="32"/>
        <v>0</v>
      </c>
      <c r="T43" s="28">
        <f t="shared" si="32"/>
        <v>0</v>
      </c>
      <c r="U43" s="28">
        <f t="shared" si="32"/>
        <v>0</v>
      </c>
      <c r="V43" s="28">
        <f t="shared" si="32"/>
        <v>0</v>
      </c>
      <c r="W43" s="28">
        <f t="shared" si="32"/>
        <v>0</v>
      </c>
      <c r="X43" s="28">
        <f t="shared" si="32"/>
        <v>440</v>
      </c>
      <c r="Y43" s="28">
        <f t="shared" si="32"/>
        <v>440</v>
      </c>
      <c r="Z43" s="28">
        <f t="shared" si="32"/>
        <v>0</v>
      </c>
      <c r="AA43" s="28">
        <f t="shared" si="32"/>
        <v>0</v>
      </c>
      <c r="AB43" s="28">
        <f t="shared" si="32"/>
        <v>0</v>
      </c>
      <c r="AC43" s="28">
        <f t="shared" si="32"/>
        <v>0</v>
      </c>
      <c r="AD43" s="28">
        <f t="shared" si="32"/>
        <v>0</v>
      </c>
      <c r="AE43" s="28">
        <f t="shared" si="32"/>
        <v>0</v>
      </c>
      <c r="AF43" s="32"/>
      <c r="AG43" s="15"/>
      <c r="AH43" s="15"/>
      <c r="AI43" s="15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</row>
    <row r="44" spans="1:62" ht="18.75" x14ac:dyDescent="0.3">
      <c r="A44" s="22" t="s">
        <v>29</v>
      </c>
      <c r="B44" s="28">
        <f t="shared" si="31"/>
        <v>80739.299999999988</v>
      </c>
      <c r="C44" s="28">
        <f>C50</f>
        <v>74177.799999999988</v>
      </c>
      <c r="D44" s="28">
        <f t="shared" si="31"/>
        <v>74177.799999999988</v>
      </c>
      <c r="E44" s="28">
        <f t="shared" si="31"/>
        <v>74177.799999999988</v>
      </c>
      <c r="F44" s="25">
        <f>E44/B44*100</f>
        <v>91.873226545189269</v>
      </c>
      <c r="G44" s="25">
        <f>E44/C44*100</f>
        <v>100</v>
      </c>
      <c r="H44" s="28">
        <f t="shared" ref="H44:W46" si="33">H50</f>
        <v>8758.4</v>
      </c>
      <c r="I44" s="28">
        <f t="shared" si="33"/>
        <v>8758.4</v>
      </c>
      <c r="J44" s="28">
        <f t="shared" si="33"/>
        <v>9653.7000000000007</v>
      </c>
      <c r="K44" s="28">
        <f t="shared" si="33"/>
        <v>9653.7000000000007</v>
      </c>
      <c r="L44" s="28">
        <f t="shared" si="33"/>
        <v>6933.1</v>
      </c>
      <c r="M44" s="28">
        <f t="shared" si="33"/>
        <v>6933.1</v>
      </c>
      <c r="N44" s="28">
        <f t="shared" si="33"/>
        <v>13039.4</v>
      </c>
      <c r="O44" s="28">
        <f t="shared" si="33"/>
        <v>13039.4</v>
      </c>
      <c r="P44" s="28">
        <f t="shared" si="33"/>
        <v>8298.1</v>
      </c>
      <c r="Q44" s="28">
        <f t="shared" si="33"/>
        <v>8298.1</v>
      </c>
      <c r="R44" s="28">
        <f t="shared" si="33"/>
        <v>8105.9000000000005</v>
      </c>
      <c r="S44" s="28">
        <f t="shared" si="33"/>
        <v>8105.9</v>
      </c>
      <c r="T44" s="28">
        <f t="shared" si="33"/>
        <v>5697</v>
      </c>
      <c r="U44" s="28">
        <f t="shared" si="33"/>
        <v>5697</v>
      </c>
      <c r="V44" s="28">
        <f t="shared" si="33"/>
        <v>4718.8999999999996</v>
      </c>
      <c r="W44" s="28">
        <f t="shared" si="33"/>
        <v>4718.8999999999996</v>
      </c>
      <c r="X44" s="28">
        <f t="shared" si="32"/>
        <v>4848.8999999999996</v>
      </c>
      <c r="Y44" s="28">
        <f t="shared" si="32"/>
        <v>4688.8999999999996</v>
      </c>
      <c r="Z44" s="28">
        <f t="shared" si="32"/>
        <v>4124.3999999999996</v>
      </c>
      <c r="AA44" s="28">
        <f t="shared" si="32"/>
        <v>4284.3999999999996</v>
      </c>
      <c r="AB44" s="28">
        <f t="shared" si="32"/>
        <v>3258.6</v>
      </c>
      <c r="AC44" s="28">
        <f t="shared" si="32"/>
        <v>0</v>
      </c>
      <c r="AD44" s="28">
        <f t="shared" si="32"/>
        <v>3302.9</v>
      </c>
      <c r="AE44" s="28">
        <f t="shared" si="32"/>
        <v>0</v>
      </c>
      <c r="AF44" s="32"/>
      <c r="AG44" s="15"/>
      <c r="AH44" s="15"/>
      <c r="AI44" s="15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</row>
    <row r="45" spans="1:62" ht="18.75" x14ac:dyDescent="0.3">
      <c r="A45" s="22" t="s">
        <v>30</v>
      </c>
      <c r="B45" s="28">
        <f t="shared" si="31"/>
        <v>0</v>
      </c>
      <c r="C45" s="28">
        <f t="shared" si="31"/>
        <v>0</v>
      </c>
      <c r="D45" s="28">
        <f t="shared" si="31"/>
        <v>0</v>
      </c>
      <c r="E45" s="28">
        <f t="shared" si="31"/>
        <v>0</v>
      </c>
      <c r="F45" s="24" t="e">
        <f t="shared" ref="F45:F46" si="34">E45/B45*100</f>
        <v>#DIV/0!</v>
      </c>
      <c r="G45" s="24" t="e">
        <f t="shared" ref="G45:G46" si="35">E45/C45*100</f>
        <v>#DIV/0!</v>
      </c>
      <c r="H45" s="28">
        <f t="shared" si="33"/>
        <v>0</v>
      </c>
      <c r="I45" s="28">
        <f t="shared" si="32"/>
        <v>0</v>
      </c>
      <c r="J45" s="28">
        <f t="shared" si="32"/>
        <v>0</v>
      </c>
      <c r="K45" s="28">
        <f t="shared" si="32"/>
        <v>0</v>
      </c>
      <c r="L45" s="28">
        <f t="shared" si="32"/>
        <v>0</v>
      </c>
      <c r="M45" s="28">
        <f t="shared" si="32"/>
        <v>0</v>
      </c>
      <c r="N45" s="28">
        <f t="shared" si="32"/>
        <v>0</v>
      </c>
      <c r="O45" s="28">
        <f t="shared" si="32"/>
        <v>0</v>
      </c>
      <c r="P45" s="28">
        <f t="shared" si="32"/>
        <v>0</v>
      </c>
      <c r="Q45" s="28">
        <f t="shared" si="32"/>
        <v>0</v>
      </c>
      <c r="R45" s="28">
        <f t="shared" si="32"/>
        <v>0</v>
      </c>
      <c r="S45" s="28">
        <f t="shared" si="32"/>
        <v>0</v>
      </c>
      <c r="T45" s="28">
        <f t="shared" si="32"/>
        <v>0</v>
      </c>
      <c r="U45" s="28">
        <f t="shared" si="32"/>
        <v>0</v>
      </c>
      <c r="V45" s="28">
        <f t="shared" si="32"/>
        <v>0</v>
      </c>
      <c r="W45" s="28">
        <f t="shared" si="32"/>
        <v>0</v>
      </c>
      <c r="X45" s="28">
        <f t="shared" si="32"/>
        <v>0</v>
      </c>
      <c r="Y45" s="28">
        <f t="shared" si="32"/>
        <v>0</v>
      </c>
      <c r="Z45" s="28">
        <f t="shared" si="32"/>
        <v>0</v>
      </c>
      <c r="AA45" s="28">
        <f t="shared" si="32"/>
        <v>0</v>
      </c>
      <c r="AB45" s="28">
        <f t="shared" si="32"/>
        <v>0</v>
      </c>
      <c r="AC45" s="28">
        <f t="shared" si="32"/>
        <v>0</v>
      </c>
      <c r="AD45" s="28">
        <f t="shared" si="32"/>
        <v>0</v>
      </c>
      <c r="AE45" s="28">
        <f t="shared" si="32"/>
        <v>0</v>
      </c>
      <c r="AF45" s="32"/>
      <c r="AG45" s="15"/>
      <c r="AH45" s="15"/>
      <c r="AI45" s="15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</row>
    <row r="46" spans="1:62" ht="18.75" x14ac:dyDescent="0.3">
      <c r="A46" s="22" t="s">
        <v>31</v>
      </c>
      <c r="B46" s="28">
        <f t="shared" si="31"/>
        <v>0</v>
      </c>
      <c r="C46" s="28">
        <f t="shared" si="31"/>
        <v>0</v>
      </c>
      <c r="D46" s="28">
        <f t="shared" si="31"/>
        <v>0</v>
      </c>
      <c r="E46" s="28">
        <f t="shared" si="31"/>
        <v>0</v>
      </c>
      <c r="F46" s="24" t="e">
        <f t="shared" si="34"/>
        <v>#DIV/0!</v>
      </c>
      <c r="G46" s="24" t="e">
        <f t="shared" si="35"/>
        <v>#DIV/0!</v>
      </c>
      <c r="H46" s="28">
        <f t="shared" si="33"/>
        <v>0</v>
      </c>
      <c r="I46" s="28">
        <f t="shared" si="32"/>
        <v>0</v>
      </c>
      <c r="J46" s="28">
        <f t="shared" si="32"/>
        <v>0</v>
      </c>
      <c r="K46" s="28">
        <f t="shared" si="32"/>
        <v>0</v>
      </c>
      <c r="L46" s="28">
        <f t="shared" si="32"/>
        <v>0</v>
      </c>
      <c r="M46" s="28">
        <f t="shared" si="32"/>
        <v>0</v>
      </c>
      <c r="N46" s="28">
        <f t="shared" si="32"/>
        <v>0</v>
      </c>
      <c r="O46" s="28">
        <f t="shared" si="32"/>
        <v>0</v>
      </c>
      <c r="P46" s="28">
        <f t="shared" si="32"/>
        <v>0</v>
      </c>
      <c r="Q46" s="28">
        <f t="shared" si="32"/>
        <v>0</v>
      </c>
      <c r="R46" s="28">
        <f t="shared" si="32"/>
        <v>0</v>
      </c>
      <c r="S46" s="28">
        <f t="shared" si="32"/>
        <v>0</v>
      </c>
      <c r="T46" s="28">
        <f t="shared" si="32"/>
        <v>0</v>
      </c>
      <c r="U46" s="28">
        <f t="shared" si="32"/>
        <v>0</v>
      </c>
      <c r="V46" s="28">
        <f t="shared" si="32"/>
        <v>0</v>
      </c>
      <c r="W46" s="28">
        <f t="shared" si="32"/>
        <v>0</v>
      </c>
      <c r="X46" s="28">
        <f t="shared" si="32"/>
        <v>0</v>
      </c>
      <c r="Y46" s="28">
        <f t="shared" si="32"/>
        <v>0</v>
      </c>
      <c r="Z46" s="28">
        <f t="shared" si="32"/>
        <v>0</v>
      </c>
      <c r="AA46" s="28">
        <f t="shared" si="32"/>
        <v>0</v>
      </c>
      <c r="AB46" s="28">
        <f t="shared" si="32"/>
        <v>0</v>
      </c>
      <c r="AC46" s="28">
        <f t="shared" si="32"/>
        <v>0</v>
      </c>
      <c r="AD46" s="28">
        <f t="shared" si="32"/>
        <v>0</v>
      </c>
      <c r="AE46" s="28">
        <f t="shared" si="32"/>
        <v>0</v>
      </c>
      <c r="AF46" s="32"/>
      <c r="AG46" s="15"/>
      <c r="AH46" s="15"/>
      <c r="AI46" s="15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</row>
    <row r="47" spans="1:62" ht="18.75" x14ac:dyDescent="0.25">
      <c r="A47" s="105" t="s">
        <v>37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7"/>
      <c r="AF47" s="111" t="s">
        <v>38</v>
      </c>
      <c r="AG47" s="15"/>
      <c r="AH47" s="15"/>
      <c r="AI47" s="15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</row>
    <row r="48" spans="1:62" ht="18.75" x14ac:dyDescent="0.3">
      <c r="A48" s="19" t="s">
        <v>27</v>
      </c>
      <c r="B48" s="20">
        <f>H48+J48+L48+N48+P48+R48+T48+V48+X48+Z48+AB48+AD48</f>
        <v>81179.299999999988</v>
      </c>
      <c r="C48" s="20">
        <f>SUM(C49:C52)</f>
        <v>74617.799999999988</v>
      </c>
      <c r="D48" s="20">
        <f t="shared" ref="D48:E48" si="36">SUM(D49:D52)</f>
        <v>74617.799999999988</v>
      </c>
      <c r="E48" s="20">
        <f t="shared" si="36"/>
        <v>74617.799999999988</v>
      </c>
      <c r="F48" s="21">
        <f>E48/B48*100</f>
        <v>91.917274477606981</v>
      </c>
      <c r="G48" s="21">
        <f>E48/C48*100</f>
        <v>100</v>
      </c>
      <c r="H48" s="13">
        <f>SUM(H49:H52)</f>
        <v>8758.4</v>
      </c>
      <c r="I48" s="13">
        <f t="shared" ref="I48:AE48" si="37">SUM(I49:I52)</f>
        <v>8758.4</v>
      </c>
      <c r="J48" s="13">
        <f t="shared" si="37"/>
        <v>9653.7000000000007</v>
      </c>
      <c r="K48" s="13">
        <f t="shared" si="37"/>
        <v>9653.7000000000007</v>
      </c>
      <c r="L48" s="13">
        <f t="shared" si="37"/>
        <v>6933.1</v>
      </c>
      <c r="M48" s="13">
        <f t="shared" si="37"/>
        <v>6933.1</v>
      </c>
      <c r="N48" s="13">
        <f t="shared" si="37"/>
        <v>13039.4</v>
      </c>
      <c r="O48" s="13">
        <f t="shared" si="37"/>
        <v>13039.4</v>
      </c>
      <c r="P48" s="13">
        <f t="shared" si="37"/>
        <v>8298.1</v>
      </c>
      <c r="Q48" s="13">
        <f t="shared" si="37"/>
        <v>8298.1</v>
      </c>
      <c r="R48" s="13">
        <f t="shared" si="37"/>
        <v>8105.9000000000005</v>
      </c>
      <c r="S48" s="13">
        <f t="shared" si="37"/>
        <v>8105.9</v>
      </c>
      <c r="T48" s="13">
        <f t="shared" si="37"/>
        <v>5697</v>
      </c>
      <c r="U48" s="13">
        <f t="shared" si="37"/>
        <v>5697</v>
      </c>
      <c r="V48" s="13">
        <f t="shared" si="37"/>
        <v>4718.8999999999996</v>
      </c>
      <c r="W48" s="13">
        <f t="shared" si="37"/>
        <v>4718.8999999999996</v>
      </c>
      <c r="X48" s="13">
        <f t="shared" si="37"/>
        <v>5288.9</v>
      </c>
      <c r="Y48" s="13">
        <f t="shared" si="37"/>
        <v>5128.8999999999996</v>
      </c>
      <c r="Z48" s="13">
        <f t="shared" si="37"/>
        <v>4124.3999999999996</v>
      </c>
      <c r="AA48" s="13">
        <f t="shared" si="37"/>
        <v>4284.3999999999996</v>
      </c>
      <c r="AB48" s="13">
        <f t="shared" si="37"/>
        <v>3258.6</v>
      </c>
      <c r="AC48" s="13">
        <f t="shared" si="37"/>
        <v>0</v>
      </c>
      <c r="AD48" s="13">
        <f t="shared" si="37"/>
        <v>3302.9</v>
      </c>
      <c r="AE48" s="13">
        <f t="shared" si="37"/>
        <v>0</v>
      </c>
      <c r="AF48" s="112"/>
      <c r="AG48" s="15"/>
      <c r="AH48" s="15"/>
      <c r="AI48" s="15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</row>
    <row r="49" spans="1:62" ht="18.75" x14ac:dyDescent="0.3">
      <c r="A49" s="22" t="s">
        <v>28</v>
      </c>
      <c r="B49" s="28">
        <f>H49+J49+L49+N49+P49+R49+T49+V49+X49+Z49+AB49+AD49</f>
        <v>440</v>
      </c>
      <c r="C49" s="28">
        <f>H49+J49+L49+N49+P49+R49+T49+V49+X49</f>
        <v>440</v>
      </c>
      <c r="D49" s="28">
        <f>E49</f>
        <v>440</v>
      </c>
      <c r="E49" s="28">
        <f>I49+K49+M49+O49+Q49+S49+U49+W49+Y49+AA49+AC49+AE49</f>
        <v>440</v>
      </c>
      <c r="F49" s="24">
        <f>E49/B49*100</f>
        <v>100</v>
      </c>
      <c r="G49" s="24">
        <f>E49/C49*100</f>
        <v>100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>
        <v>440</v>
      </c>
      <c r="Y49" s="23">
        <v>440</v>
      </c>
      <c r="Z49" s="23"/>
      <c r="AA49" s="23"/>
      <c r="AB49" s="23"/>
      <c r="AC49" s="23"/>
      <c r="AD49" s="23"/>
      <c r="AE49" s="23"/>
      <c r="AF49" s="112"/>
      <c r="AG49" s="15"/>
      <c r="AH49" s="15"/>
      <c r="AI49" s="15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</row>
    <row r="50" spans="1:62" ht="18.75" x14ac:dyDescent="0.3">
      <c r="A50" s="22" t="s">
        <v>29</v>
      </c>
      <c r="B50" s="28">
        <f>H50+J50+L50+N50+P50+R50+T50+V50+X50+Z50+AB50+AD50</f>
        <v>80739.299999999988</v>
      </c>
      <c r="C50" s="28">
        <f>H50+J50+L50+N50+P50+R50+T50+V50+X50+Z50</f>
        <v>74177.799999999988</v>
      </c>
      <c r="D50" s="29">
        <f>E50</f>
        <v>74177.799999999988</v>
      </c>
      <c r="E50" s="28">
        <f>I50+K50+M50+O50+Q50+S50+U50+W50+Y50+AA50+AC50+AE50</f>
        <v>74177.799999999988</v>
      </c>
      <c r="F50" s="25">
        <f>E50/B50*100</f>
        <v>91.873226545189269</v>
      </c>
      <c r="G50" s="25">
        <f>E50/C50*100</f>
        <v>100</v>
      </c>
      <c r="H50" s="23">
        <v>8758.4</v>
      </c>
      <c r="I50" s="23">
        <v>8758.4</v>
      </c>
      <c r="J50" s="23">
        <v>9653.7000000000007</v>
      </c>
      <c r="K50" s="23">
        <v>9653.7000000000007</v>
      </c>
      <c r="L50" s="23">
        <v>6933.1</v>
      </c>
      <c r="M50" s="23">
        <v>6933.1</v>
      </c>
      <c r="N50" s="23">
        <v>13039.4</v>
      </c>
      <c r="O50" s="23">
        <v>13039.4</v>
      </c>
      <c r="P50" s="23">
        <v>8298.1</v>
      </c>
      <c r="Q50" s="23">
        <v>8298.1</v>
      </c>
      <c r="R50" s="23">
        <f>7893.6+212.3</f>
        <v>8105.9000000000005</v>
      </c>
      <c r="S50" s="23">
        <v>8105.9</v>
      </c>
      <c r="T50" s="23">
        <v>5697</v>
      </c>
      <c r="U50" s="23">
        <v>5697</v>
      </c>
      <c r="V50" s="23">
        <f>4931.2-212.3</f>
        <v>4718.8999999999996</v>
      </c>
      <c r="W50" s="23">
        <v>4718.8999999999996</v>
      </c>
      <c r="X50" s="23">
        <v>4848.8999999999996</v>
      </c>
      <c r="Y50" s="23">
        <v>4688.8999999999996</v>
      </c>
      <c r="Z50" s="23">
        <f>4224.4-100</f>
        <v>4124.3999999999996</v>
      </c>
      <c r="AA50" s="23">
        <v>4284.3999999999996</v>
      </c>
      <c r="AB50" s="23">
        <f>3158.6+100</f>
        <v>3258.6</v>
      </c>
      <c r="AC50" s="23"/>
      <c r="AD50" s="23">
        <f>3302.9</f>
        <v>3302.9</v>
      </c>
      <c r="AE50" s="23"/>
      <c r="AF50" s="112"/>
      <c r="AG50" s="15"/>
      <c r="AH50" s="15"/>
      <c r="AI50" s="15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</row>
    <row r="51" spans="1:62" ht="18.75" x14ac:dyDescent="0.3">
      <c r="A51" s="22" t="s">
        <v>30</v>
      </c>
      <c r="B51" s="28">
        <f t="shared" ref="B51:B52" si="38">H51+J51+L51+N51+P51+R51+T51+V51+X51+Z51+AB51+AD51</f>
        <v>0</v>
      </c>
      <c r="C51" s="28">
        <f t="shared" ref="C51:C52" si="39">H51+J51+L51+N51+P51+R51+T51+V51+X51+Z51+AB51</f>
        <v>0</v>
      </c>
      <c r="D51" s="29"/>
      <c r="E51" s="28">
        <f t="shared" ref="E51:E52" si="40">I51+K51+M51+O51+Q51+S51+U51+W51+Y51+AA51+AC51+AE51</f>
        <v>0</v>
      </c>
      <c r="F51" s="24" t="e">
        <f t="shared" ref="F51:F52" si="41">E51/B51*100</f>
        <v>#DIV/0!</v>
      </c>
      <c r="G51" s="24" t="e">
        <f t="shared" ref="G51:G52" si="42">E51/C51*100</f>
        <v>#DIV/0!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12"/>
      <c r="AG51" s="15"/>
      <c r="AH51" s="15"/>
      <c r="AI51" s="15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</row>
    <row r="52" spans="1:62" ht="18.75" x14ac:dyDescent="0.3">
      <c r="A52" s="22" t="s">
        <v>31</v>
      </c>
      <c r="B52" s="28">
        <f t="shared" si="38"/>
        <v>0</v>
      </c>
      <c r="C52" s="28">
        <f t="shared" si="39"/>
        <v>0</v>
      </c>
      <c r="D52" s="29"/>
      <c r="E52" s="28">
        <f t="shared" si="40"/>
        <v>0</v>
      </c>
      <c r="F52" s="24" t="e">
        <f t="shared" si="41"/>
        <v>#DIV/0!</v>
      </c>
      <c r="G52" s="24" t="e">
        <f t="shared" si="42"/>
        <v>#DIV/0!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13"/>
      <c r="AG52" s="15"/>
      <c r="AH52" s="15"/>
      <c r="AI52" s="15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</row>
    <row r="53" spans="1:62" ht="20.25" x14ac:dyDescent="0.25">
      <c r="A53" s="108" t="s">
        <v>39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10"/>
      <c r="AF53" s="112"/>
      <c r="AG53" s="15"/>
      <c r="AH53" s="15"/>
      <c r="AI53" s="15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</row>
    <row r="54" spans="1:62" ht="18.75" x14ac:dyDescent="0.3">
      <c r="A54" s="19" t="s">
        <v>27</v>
      </c>
      <c r="B54" s="27">
        <f>H54+J54+L54+N54+P54+R54+T54+V54+X54+Z54+AB54+AD54</f>
        <v>2167773.8000000003</v>
      </c>
      <c r="C54" s="27">
        <f>SUM(C55:C58)</f>
        <v>1814514.1</v>
      </c>
      <c r="D54" s="27">
        <f t="shared" ref="D54:E54" si="43">SUM(D55:D58)</f>
        <v>1677673.4</v>
      </c>
      <c r="E54" s="27">
        <f t="shared" si="43"/>
        <v>1677673.4</v>
      </c>
      <c r="F54" s="21">
        <f>E54/B54*100</f>
        <v>77.391534116705344</v>
      </c>
      <c r="G54" s="21">
        <f>E54/C54*100</f>
        <v>92.458548544759168</v>
      </c>
      <c r="H54" s="13">
        <f>SUM(H55:H58)</f>
        <v>141923.4</v>
      </c>
      <c r="I54" s="13">
        <f t="shared" ref="I54:AE54" si="44">SUM(I55:I58)</f>
        <v>136418.1</v>
      </c>
      <c r="J54" s="13">
        <f t="shared" si="44"/>
        <v>249227.2</v>
      </c>
      <c r="K54" s="13">
        <f t="shared" si="44"/>
        <v>237702.3</v>
      </c>
      <c r="L54" s="13">
        <f t="shared" si="44"/>
        <v>197390.9</v>
      </c>
      <c r="M54" s="13">
        <f t="shared" si="44"/>
        <v>202967.2</v>
      </c>
      <c r="N54" s="13">
        <f t="shared" si="44"/>
        <v>188480</v>
      </c>
      <c r="O54" s="13">
        <f t="shared" si="44"/>
        <v>180643.1</v>
      </c>
      <c r="P54" s="13">
        <f t="shared" si="44"/>
        <v>377788.2</v>
      </c>
      <c r="Q54" s="13">
        <f t="shared" si="44"/>
        <v>364529.4</v>
      </c>
      <c r="R54" s="13">
        <f t="shared" si="44"/>
        <v>183232</v>
      </c>
      <c r="S54" s="13">
        <f t="shared" si="44"/>
        <v>110996.3</v>
      </c>
      <c r="T54" s="13">
        <f t="shared" si="44"/>
        <v>127505.3</v>
      </c>
      <c r="U54" s="13">
        <f t="shared" si="44"/>
        <v>203409.2</v>
      </c>
      <c r="V54" s="13">
        <f t="shared" si="44"/>
        <v>89482.299999999988</v>
      </c>
      <c r="W54" s="13">
        <f t="shared" si="44"/>
        <v>43275</v>
      </c>
      <c r="X54" s="13">
        <f t="shared" si="44"/>
        <v>127234.50000000001</v>
      </c>
      <c r="Y54" s="13">
        <f t="shared" si="44"/>
        <v>124960.9</v>
      </c>
      <c r="Z54" s="13">
        <f t="shared" si="44"/>
        <v>132250.30000000002</v>
      </c>
      <c r="AA54" s="13">
        <f t="shared" si="44"/>
        <v>72771.899999999994</v>
      </c>
      <c r="AB54" s="13">
        <f t="shared" si="44"/>
        <v>251712.1</v>
      </c>
      <c r="AC54" s="13">
        <f t="shared" si="44"/>
        <v>0</v>
      </c>
      <c r="AD54" s="13">
        <f t="shared" si="44"/>
        <v>101547.6</v>
      </c>
      <c r="AE54" s="13">
        <f t="shared" si="44"/>
        <v>0</v>
      </c>
      <c r="AF54" s="112"/>
      <c r="AG54" s="15"/>
      <c r="AH54" s="15"/>
      <c r="AI54" s="1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</row>
    <row r="55" spans="1:62" ht="18.75" x14ac:dyDescent="0.3">
      <c r="A55" s="22" t="s">
        <v>28</v>
      </c>
      <c r="B55" s="28">
        <f>B61+B67+B73</f>
        <v>1738415.3</v>
      </c>
      <c r="C55" s="28">
        <f>C61+C67+C73</f>
        <v>1431336</v>
      </c>
      <c r="D55" s="28">
        <f t="shared" ref="D55:E55" si="45">D61+D67+D73</f>
        <v>1305376.7</v>
      </c>
      <c r="E55" s="28">
        <f t="shared" si="45"/>
        <v>1305376.7</v>
      </c>
      <c r="F55" s="24">
        <f>E55/B55*100</f>
        <v>75.0900374611291</v>
      </c>
      <c r="G55" s="24">
        <f t="shared" ref="G55:G57" si="46">E55/C55*100</f>
        <v>91.199878994170476</v>
      </c>
      <c r="H55" s="23">
        <f>H61+H67+H73</f>
        <v>99100.7</v>
      </c>
      <c r="I55" s="23">
        <f t="shared" ref="I55:AE57" si="47">I61+I67+I73</f>
        <v>97670.7</v>
      </c>
      <c r="J55" s="23">
        <f t="shared" si="47"/>
        <v>178518.6</v>
      </c>
      <c r="K55" s="23">
        <f t="shared" si="47"/>
        <v>168740.7</v>
      </c>
      <c r="L55" s="23">
        <f t="shared" si="47"/>
        <v>156797.5</v>
      </c>
      <c r="M55" s="23">
        <f t="shared" si="47"/>
        <v>158360.80000000002</v>
      </c>
      <c r="N55" s="23">
        <f t="shared" si="47"/>
        <v>150200.6</v>
      </c>
      <c r="O55" s="23">
        <f t="shared" si="47"/>
        <v>143522.4</v>
      </c>
      <c r="P55" s="23">
        <f t="shared" si="47"/>
        <v>330720.40000000002</v>
      </c>
      <c r="Q55" s="23">
        <f t="shared" si="47"/>
        <v>326530</v>
      </c>
      <c r="R55" s="23">
        <f t="shared" si="47"/>
        <v>157070.39999999999</v>
      </c>
      <c r="S55" s="23">
        <f t="shared" si="47"/>
        <v>80118.099999999991</v>
      </c>
      <c r="T55" s="23">
        <f t="shared" si="47"/>
        <v>97651.8</v>
      </c>
      <c r="U55" s="23">
        <f t="shared" si="47"/>
        <v>174596.80000000002</v>
      </c>
      <c r="V55" s="23">
        <f t="shared" si="47"/>
        <v>70967.199999999997</v>
      </c>
      <c r="W55" s="23">
        <f t="shared" si="47"/>
        <v>23635.100000000002</v>
      </c>
      <c r="X55" s="23">
        <f t="shared" si="47"/>
        <v>94422.6</v>
      </c>
      <c r="Y55" s="23">
        <f t="shared" si="47"/>
        <v>97606.599999999991</v>
      </c>
      <c r="Z55" s="23">
        <f t="shared" si="47"/>
        <v>95886.200000000012</v>
      </c>
      <c r="AA55" s="23">
        <f t="shared" si="47"/>
        <v>34595.5</v>
      </c>
      <c r="AB55" s="23">
        <f t="shared" si="47"/>
        <v>232133.19999999998</v>
      </c>
      <c r="AC55" s="23">
        <f t="shared" si="47"/>
        <v>0</v>
      </c>
      <c r="AD55" s="23">
        <f t="shared" si="47"/>
        <v>74946.100000000006</v>
      </c>
      <c r="AE55" s="23">
        <f t="shared" si="47"/>
        <v>0</v>
      </c>
      <c r="AF55" s="112"/>
      <c r="AG55" s="15"/>
      <c r="AH55" s="15"/>
      <c r="AI55" s="15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</row>
    <row r="56" spans="1:62" ht="18.75" x14ac:dyDescent="0.3">
      <c r="A56" s="22" t="s">
        <v>29</v>
      </c>
      <c r="B56" s="28">
        <f>B62+B68+B74</f>
        <v>365429.8</v>
      </c>
      <c r="C56" s="28">
        <f>C62+C68+C74</f>
        <v>330399.8</v>
      </c>
      <c r="D56" s="28">
        <f>D62+D68+D74</f>
        <v>322226.2</v>
      </c>
      <c r="E56" s="28">
        <f>E62+E68+E74</f>
        <v>322226.2</v>
      </c>
      <c r="F56" s="24">
        <f t="shared" ref="F56:F58" si="48">E56/B56*100</f>
        <v>88.177318872188309</v>
      </c>
      <c r="G56" s="24">
        <f t="shared" si="46"/>
        <v>97.52614862357666</v>
      </c>
      <c r="H56" s="23">
        <f t="shared" ref="H56:H57" si="49">H62+H68+H74</f>
        <v>38747.4</v>
      </c>
      <c r="I56" s="23">
        <f t="shared" si="47"/>
        <v>38747.4</v>
      </c>
      <c r="J56" s="23">
        <f t="shared" si="47"/>
        <v>60608.3</v>
      </c>
      <c r="K56" s="23">
        <f t="shared" si="47"/>
        <v>58970</v>
      </c>
      <c r="L56" s="23">
        <f t="shared" si="47"/>
        <v>36518.1</v>
      </c>
      <c r="M56" s="23">
        <f t="shared" si="47"/>
        <v>37286.699999999997</v>
      </c>
      <c r="N56" s="23">
        <f t="shared" si="47"/>
        <v>34204.1</v>
      </c>
      <c r="O56" s="23">
        <f t="shared" si="47"/>
        <v>33254.1</v>
      </c>
      <c r="P56" s="23">
        <f t="shared" si="47"/>
        <v>30766.799999999999</v>
      </c>
      <c r="Q56" s="23">
        <f t="shared" si="47"/>
        <v>30639</v>
      </c>
      <c r="R56" s="23">
        <f t="shared" si="47"/>
        <v>26161.600000000002</v>
      </c>
      <c r="S56" s="23">
        <f t="shared" si="47"/>
        <v>24183.9</v>
      </c>
      <c r="T56" s="23">
        <f t="shared" si="47"/>
        <v>29853.5</v>
      </c>
      <c r="U56" s="23">
        <f t="shared" si="47"/>
        <v>28812.400000000001</v>
      </c>
      <c r="V56" s="23">
        <f t="shared" si="47"/>
        <v>18515.099999999999</v>
      </c>
      <c r="W56" s="23">
        <f t="shared" si="47"/>
        <v>19316.099999999999</v>
      </c>
      <c r="X56" s="23">
        <f t="shared" si="47"/>
        <v>28736.6</v>
      </c>
      <c r="Y56" s="23">
        <f t="shared" si="47"/>
        <v>22952.400000000001</v>
      </c>
      <c r="Z56" s="23">
        <f t="shared" si="47"/>
        <v>26288.300000000003</v>
      </c>
      <c r="AA56" s="23">
        <f t="shared" si="47"/>
        <v>28064.2</v>
      </c>
      <c r="AB56" s="23">
        <f t="shared" si="47"/>
        <v>15503.699999999999</v>
      </c>
      <c r="AC56" s="23">
        <f t="shared" si="47"/>
        <v>0</v>
      </c>
      <c r="AD56" s="23">
        <f t="shared" si="47"/>
        <v>19526.3</v>
      </c>
      <c r="AE56" s="23">
        <f t="shared" si="47"/>
        <v>0</v>
      </c>
      <c r="AF56" s="112"/>
      <c r="AG56" s="15"/>
      <c r="AH56" s="15"/>
      <c r="AI56" s="15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</row>
    <row r="57" spans="1:62" ht="18.75" x14ac:dyDescent="0.3">
      <c r="A57" s="22" t="s">
        <v>30</v>
      </c>
      <c r="B57" s="28">
        <f t="shared" ref="B57" si="50">H57+J57+L57+N57+P57+R57+T57+V57+X57+Z57+AB57+AD57</f>
        <v>48903.099999999991</v>
      </c>
      <c r="C57" s="29">
        <f t="shared" ref="C57:D58" si="51">C63+C69+C75</f>
        <v>40752.699999999997</v>
      </c>
      <c r="D57" s="29">
        <f t="shared" si="51"/>
        <v>38044.9</v>
      </c>
      <c r="E57" s="28">
        <f t="shared" ref="E57:E58" si="52">I57+K57+M57+O57+Q57+S57+U57+W57+Y57+AA57+AC57+AE57</f>
        <v>38044.9</v>
      </c>
      <c r="F57" s="24">
        <f t="shared" si="48"/>
        <v>77.796499608409292</v>
      </c>
      <c r="G57" s="24">
        <f t="shared" si="46"/>
        <v>93.355532271481408</v>
      </c>
      <c r="H57" s="23">
        <f t="shared" si="49"/>
        <v>4075.3</v>
      </c>
      <c r="I57" s="23">
        <f t="shared" si="47"/>
        <v>0</v>
      </c>
      <c r="J57" s="23">
        <f t="shared" si="47"/>
        <v>4075.3</v>
      </c>
      <c r="K57" s="23">
        <f t="shared" si="47"/>
        <v>7689.8</v>
      </c>
      <c r="L57" s="23">
        <f t="shared" si="47"/>
        <v>4075.3</v>
      </c>
      <c r="M57" s="23">
        <f t="shared" si="47"/>
        <v>3906.1</v>
      </c>
      <c r="N57" s="23">
        <f t="shared" si="47"/>
        <v>4075.3</v>
      </c>
      <c r="O57" s="23">
        <f t="shared" si="47"/>
        <v>3866.6</v>
      </c>
      <c r="P57" s="23">
        <f t="shared" si="47"/>
        <v>16301</v>
      </c>
      <c r="Q57" s="23">
        <f t="shared" si="47"/>
        <v>7360.4</v>
      </c>
      <c r="R57" s="23">
        <f t="shared" si="47"/>
        <v>0</v>
      </c>
      <c r="S57" s="23">
        <f t="shared" si="47"/>
        <v>6694.3</v>
      </c>
      <c r="T57" s="23">
        <f t="shared" si="47"/>
        <v>0</v>
      </c>
      <c r="U57" s="23">
        <f t="shared" si="47"/>
        <v>0</v>
      </c>
      <c r="V57" s="23">
        <f t="shared" si="47"/>
        <v>0</v>
      </c>
      <c r="W57" s="23">
        <f t="shared" si="47"/>
        <v>323.8</v>
      </c>
      <c r="X57" s="23">
        <f t="shared" si="47"/>
        <v>4075.3</v>
      </c>
      <c r="Y57" s="23">
        <f t="shared" si="47"/>
        <v>4401.8999999999996</v>
      </c>
      <c r="Z57" s="23">
        <f t="shared" si="47"/>
        <v>4075.2</v>
      </c>
      <c r="AA57" s="23">
        <f t="shared" si="47"/>
        <v>3802</v>
      </c>
      <c r="AB57" s="23">
        <f t="shared" si="47"/>
        <v>4075.2</v>
      </c>
      <c r="AC57" s="23">
        <f t="shared" si="47"/>
        <v>0</v>
      </c>
      <c r="AD57" s="23">
        <f t="shared" si="47"/>
        <v>4075.2</v>
      </c>
      <c r="AE57" s="23">
        <f t="shared" si="47"/>
        <v>0</v>
      </c>
      <c r="AF57" s="112"/>
      <c r="AG57" s="15"/>
      <c r="AH57" s="15"/>
      <c r="AI57" s="15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</row>
    <row r="58" spans="1:62" ht="18.75" x14ac:dyDescent="0.3">
      <c r="A58" s="22" t="s">
        <v>31</v>
      </c>
      <c r="B58" s="28">
        <f>H58+J58+L58+N58+P58+R58+T58+V58+X58+Z58+AB58+AD58</f>
        <v>15025.6</v>
      </c>
      <c r="C58" s="29">
        <f>C64+C70+C76</f>
        <v>12025.6</v>
      </c>
      <c r="D58" s="29">
        <f t="shared" si="51"/>
        <v>12025.599999999999</v>
      </c>
      <c r="E58" s="28">
        <f t="shared" si="52"/>
        <v>12025.599999999999</v>
      </c>
      <c r="F58" s="24">
        <f t="shared" si="48"/>
        <v>80.034075178362258</v>
      </c>
      <c r="G58" s="24">
        <f>E58/C58*100</f>
        <v>99.999999999999986</v>
      </c>
      <c r="H58" s="23">
        <f>H64+H70+H76</f>
        <v>0</v>
      </c>
      <c r="I58" s="23">
        <f t="shared" ref="I58:AE58" si="53">I64</f>
        <v>0</v>
      </c>
      <c r="J58" s="23">
        <f t="shared" si="53"/>
        <v>6025</v>
      </c>
      <c r="K58" s="23">
        <f t="shared" si="53"/>
        <v>2301.8000000000002</v>
      </c>
      <c r="L58" s="23">
        <f t="shared" si="53"/>
        <v>0</v>
      </c>
      <c r="M58" s="23">
        <f t="shared" si="53"/>
        <v>3413.6</v>
      </c>
      <c r="N58" s="23">
        <f t="shared" si="53"/>
        <v>0</v>
      </c>
      <c r="O58" s="23">
        <f t="shared" si="53"/>
        <v>0</v>
      </c>
      <c r="P58" s="23">
        <f t="shared" si="53"/>
        <v>0</v>
      </c>
      <c r="Q58" s="23">
        <f t="shared" si="53"/>
        <v>0</v>
      </c>
      <c r="R58" s="23">
        <f t="shared" si="53"/>
        <v>0</v>
      </c>
      <c r="S58" s="23">
        <f t="shared" si="53"/>
        <v>0</v>
      </c>
      <c r="T58" s="23">
        <f t="shared" si="53"/>
        <v>0</v>
      </c>
      <c r="U58" s="23">
        <f t="shared" si="53"/>
        <v>0</v>
      </c>
      <c r="V58" s="23">
        <f t="shared" si="53"/>
        <v>0</v>
      </c>
      <c r="W58" s="23">
        <f t="shared" si="53"/>
        <v>0</v>
      </c>
      <c r="X58" s="23">
        <f t="shared" si="53"/>
        <v>0</v>
      </c>
      <c r="Y58" s="23">
        <f t="shared" si="53"/>
        <v>0</v>
      </c>
      <c r="Z58" s="23">
        <f t="shared" si="53"/>
        <v>6000.6</v>
      </c>
      <c r="AA58" s="23">
        <f t="shared" si="53"/>
        <v>6310.2</v>
      </c>
      <c r="AB58" s="23">
        <f t="shared" si="53"/>
        <v>0</v>
      </c>
      <c r="AC58" s="23">
        <f t="shared" si="53"/>
        <v>0</v>
      </c>
      <c r="AD58" s="23">
        <f t="shared" si="53"/>
        <v>3000</v>
      </c>
      <c r="AE58" s="23">
        <f t="shared" si="53"/>
        <v>0</v>
      </c>
      <c r="AF58" s="112"/>
      <c r="AG58" s="33"/>
      <c r="AH58" s="33"/>
      <c r="AI58" s="33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1:62" ht="18.75" x14ac:dyDescent="0.25">
      <c r="A59" s="105" t="s">
        <v>40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112"/>
      <c r="AG59" s="15"/>
      <c r="AH59" s="15"/>
      <c r="AI59" s="15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</row>
    <row r="60" spans="1:62" ht="56.25" x14ac:dyDescent="0.3">
      <c r="A60" s="19" t="s">
        <v>27</v>
      </c>
      <c r="B60" s="27">
        <f>H60+J60+L60+N60+P60+R60+T60+V60+X60+Z60+AB60+AD60</f>
        <v>2147023</v>
      </c>
      <c r="C60" s="20">
        <f>SUM(C61:C64)</f>
        <v>1799731.4000000001</v>
      </c>
      <c r="D60" s="20">
        <f t="shared" ref="D60:E60" si="54">SUM(D61:D64)</f>
        <v>1663569.5999999999</v>
      </c>
      <c r="E60" s="20">
        <f t="shared" si="54"/>
        <v>1663569.5999999999</v>
      </c>
      <c r="F60" s="21">
        <f>E60/B60*100</f>
        <v>77.48261662776784</v>
      </c>
      <c r="G60" s="21">
        <f>E60/C60*100</f>
        <v>92.434326588956537</v>
      </c>
      <c r="H60" s="13">
        <f>SUM(H61:H64)</f>
        <v>140493.4</v>
      </c>
      <c r="I60" s="13">
        <f t="shared" ref="I60:AE60" si="55">SUM(I61:I64)</f>
        <v>136418.1</v>
      </c>
      <c r="J60" s="13">
        <f t="shared" si="55"/>
        <v>247797.2</v>
      </c>
      <c r="K60" s="13">
        <f t="shared" si="55"/>
        <v>236407.09999999998</v>
      </c>
      <c r="L60" s="13">
        <f t="shared" si="55"/>
        <v>195960.9</v>
      </c>
      <c r="M60" s="13">
        <f t="shared" si="55"/>
        <v>201459</v>
      </c>
      <c r="N60" s="13">
        <f t="shared" si="55"/>
        <v>187050</v>
      </c>
      <c r="O60" s="13">
        <f t="shared" si="55"/>
        <v>179124.2</v>
      </c>
      <c r="P60" s="13">
        <f t="shared" si="55"/>
        <v>374055.5</v>
      </c>
      <c r="Q60" s="13">
        <f t="shared" si="55"/>
        <v>362997.7</v>
      </c>
      <c r="R60" s="13">
        <f t="shared" si="55"/>
        <v>182952</v>
      </c>
      <c r="S60" s="13">
        <f t="shared" si="55"/>
        <v>109367.09999999999</v>
      </c>
      <c r="T60" s="13">
        <f t="shared" si="55"/>
        <v>127225.3</v>
      </c>
      <c r="U60" s="13">
        <f t="shared" si="55"/>
        <v>201627</v>
      </c>
      <c r="V60" s="13">
        <f t="shared" si="55"/>
        <v>88052.299999999988</v>
      </c>
      <c r="W60" s="13">
        <f t="shared" si="55"/>
        <v>41631.600000000006</v>
      </c>
      <c r="X60" s="13">
        <f t="shared" si="55"/>
        <v>125804.50000000001</v>
      </c>
      <c r="Y60" s="13">
        <f t="shared" si="55"/>
        <v>123365.5</v>
      </c>
      <c r="Z60" s="13">
        <f t="shared" si="55"/>
        <v>130340.30000000002</v>
      </c>
      <c r="AA60" s="13">
        <f t="shared" si="55"/>
        <v>71172.3</v>
      </c>
      <c r="AB60" s="13">
        <f t="shared" si="55"/>
        <v>247182.1</v>
      </c>
      <c r="AC60" s="13">
        <f t="shared" si="55"/>
        <v>0</v>
      </c>
      <c r="AD60" s="13">
        <f t="shared" si="55"/>
        <v>100109.5</v>
      </c>
      <c r="AE60" s="13">
        <f t="shared" si="55"/>
        <v>0</v>
      </c>
      <c r="AF60" s="17" t="s">
        <v>125</v>
      </c>
      <c r="AG60" s="15">
        <f>C60-E60</f>
        <v>136161.80000000028</v>
      </c>
      <c r="AH60" s="15"/>
      <c r="AI60" s="15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</row>
    <row r="61" spans="1:62" ht="18.75" x14ac:dyDescent="0.3">
      <c r="A61" s="22" t="s">
        <v>28</v>
      </c>
      <c r="B61" s="28">
        <f>H61+J61+L61+N61+P61+R61+T61+V61+X61+Z61+AB61+AD61</f>
        <v>1717664.5</v>
      </c>
      <c r="C61" s="28">
        <f>H61+J61+L61+N61+P61+R61+T61+V61+X61+Z61</f>
        <v>1416553.3</v>
      </c>
      <c r="D61" s="29">
        <f>E61</f>
        <v>1291272.8999999999</v>
      </c>
      <c r="E61" s="28">
        <f>I61+K61+M61+O61+Q61+S61+U61+W61+Y61+AA61+AC61+AE61</f>
        <v>1291272.8999999999</v>
      </c>
      <c r="F61" s="24">
        <f>E61/B61*100</f>
        <v>75.176083571617141</v>
      </c>
      <c r="G61" s="24">
        <f>E61/C61*100</f>
        <v>91.155969916557311</v>
      </c>
      <c r="H61" s="23">
        <v>97670.7</v>
      </c>
      <c r="I61" s="23">
        <v>97670.7</v>
      </c>
      <c r="J61" s="23">
        <v>177088.6</v>
      </c>
      <c r="K61" s="23">
        <v>167445.5</v>
      </c>
      <c r="L61" s="23">
        <v>155367.5</v>
      </c>
      <c r="M61" s="23">
        <v>156852.6</v>
      </c>
      <c r="N61" s="23">
        <v>148770.6</v>
      </c>
      <c r="O61" s="23">
        <v>142003.5</v>
      </c>
      <c r="P61" s="23">
        <v>326987.7</v>
      </c>
      <c r="Q61" s="23">
        <v>324998.3</v>
      </c>
      <c r="R61" s="23">
        <f>154190.3+2600.1</f>
        <v>156790.39999999999</v>
      </c>
      <c r="S61" s="23">
        <v>78488.899999999994</v>
      </c>
      <c r="T61" s="23">
        <f>95471.8+1900</f>
        <v>97371.8</v>
      </c>
      <c r="U61" s="23">
        <v>172814.6</v>
      </c>
      <c r="V61" s="23">
        <f>64147.2+5390</f>
        <v>69537.2</v>
      </c>
      <c r="W61" s="23">
        <v>21991.7</v>
      </c>
      <c r="X61" s="23">
        <f>98382.6-5390</f>
        <v>92992.6</v>
      </c>
      <c r="Y61" s="23">
        <v>96011.199999999997</v>
      </c>
      <c r="Z61" s="23">
        <f>106444.7+121165.3-133633.8</f>
        <v>93976.200000000012</v>
      </c>
      <c r="AA61" s="23">
        <v>32995.9</v>
      </c>
      <c r="AB61" s="23">
        <f>93969.4+133633.8</f>
        <v>227603.19999999998</v>
      </c>
      <c r="AC61" s="23"/>
      <c r="AD61" s="23">
        <f>76848.8-2600.1-1900+1159.3</f>
        <v>73508</v>
      </c>
      <c r="AE61" s="23"/>
      <c r="AF61" s="17"/>
      <c r="AG61" s="15"/>
      <c r="AH61" s="15"/>
      <c r="AI61" s="15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</row>
    <row r="62" spans="1:62" ht="18.75" x14ac:dyDescent="0.3">
      <c r="A62" s="22" t="s">
        <v>29</v>
      </c>
      <c r="B62" s="28">
        <f t="shared" ref="B62:B63" si="56">H62+J62+L62+N62+P62+R62+T62+V62+X62+Z62+AB62+AD62</f>
        <v>365429.8</v>
      </c>
      <c r="C62" s="28">
        <f t="shared" ref="C62:C63" si="57">H62+J62+L62+N62+P62+R62+T62+V62+X62+Z62</f>
        <v>330399.8</v>
      </c>
      <c r="D62" s="29">
        <f>E62</f>
        <v>322226.2</v>
      </c>
      <c r="E62" s="28">
        <f t="shared" ref="E62:E64" si="58">I62+K62+M62+O62+Q62+S62+U62+W62+Y62+AA62+AC62+AE62</f>
        <v>322226.2</v>
      </c>
      <c r="F62" s="24">
        <f t="shared" ref="F62:F64" si="59">E62/B62*100</f>
        <v>88.177318872188309</v>
      </c>
      <c r="G62" s="24">
        <f t="shared" ref="G62:G63" si="60">E62/C62*100</f>
        <v>97.52614862357666</v>
      </c>
      <c r="H62" s="23">
        <v>38747.4</v>
      </c>
      <c r="I62" s="23">
        <v>38747.4</v>
      </c>
      <c r="J62" s="23">
        <v>60608.3</v>
      </c>
      <c r="K62" s="23">
        <v>58970</v>
      </c>
      <c r="L62" s="23">
        <v>36518.1</v>
      </c>
      <c r="M62" s="23">
        <v>37286.699999999997</v>
      </c>
      <c r="N62" s="23">
        <f>30914.1+3290</f>
        <v>34204.1</v>
      </c>
      <c r="O62" s="23">
        <v>33254.1</v>
      </c>
      <c r="P62" s="23">
        <v>30766.799999999999</v>
      </c>
      <c r="Q62" s="23">
        <v>30639</v>
      </c>
      <c r="R62" s="23">
        <f>22113.4+4048.2</f>
        <v>26161.600000000002</v>
      </c>
      <c r="S62" s="23">
        <v>24183.9</v>
      </c>
      <c r="T62" s="23">
        <f>20484.5+9369</f>
        <v>29853.5</v>
      </c>
      <c r="U62" s="23">
        <v>28812.400000000001</v>
      </c>
      <c r="V62" s="23">
        <f>15045.6+3469.5</f>
        <v>18515.099999999999</v>
      </c>
      <c r="W62" s="23">
        <v>19316.099999999999</v>
      </c>
      <c r="X62" s="23">
        <f>13657.9-3469.5+18548.2</f>
        <v>28736.6</v>
      </c>
      <c r="Y62" s="23">
        <v>22952.400000000001</v>
      </c>
      <c r="Z62" s="23">
        <f>21250.7+5037.6</f>
        <v>26288.300000000003</v>
      </c>
      <c r="AA62" s="23">
        <v>28064.2</v>
      </c>
      <c r="AB62" s="23">
        <f>20541.3-5037.6</f>
        <v>15503.699999999999</v>
      </c>
      <c r="AC62" s="23"/>
      <c r="AD62" s="23">
        <f>53084-1384.9-4048.2-9369-18548.2-207.4</f>
        <v>19526.3</v>
      </c>
      <c r="AE62" s="23"/>
      <c r="AF62" s="17"/>
      <c r="AG62" s="15"/>
      <c r="AH62" s="15"/>
      <c r="AI62" s="15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</row>
    <row r="63" spans="1:62" ht="18.75" x14ac:dyDescent="0.3">
      <c r="A63" s="22" t="s">
        <v>30</v>
      </c>
      <c r="B63" s="92">
        <f t="shared" si="56"/>
        <v>48903.099999999991</v>
      </c>
      <c r="C63" s="28">
        <f t="shared" si="57"/>
        <v>40752.699999999997</v>
      </c>
      <c r="D63" s="29">
        <f>E63</f>
        <v>38044.9</v>
      </c>
      <c r="E63" s="28">
        <f t="shared" si="58"/>
        <v>38044.9</v>
      </c>
      <c r="F63" s="24">
        <f t="shared" si="59"/>
        <v>77.796499608409292</v>
      </c>
      <c r="G63" s="24">
        <f t="shared" si="60"/>
        <v>93.355532271481408</v>
      </c>
      <c r="H63" s="23">
        <v>4075.3</v>
      </c>
      <c r="I63" s="23"/>
      <c r="J63" s="23">
        <v>4075.3</v>
      </c>
      <c r="K63" s="23">
        <v>7689.8</v>
      </c>
      <c r="L63" s="23">
        <v>4075.3</v>
      </c>
      <c r="M63" s="23">
        <v>3906.1</v>
      </c>
      <c r="N63" s="23">
        <v>4075.3</v>
      </c>
      <c r="O63" s="23">
        <v>3866.6</v>
      </c>
      <c r="P63" s="23">
        <v>16301</v>
      </c>
      <c r="Q63" s="23">
        <v>7360.4</v>
      </c>
      <c r="R63" s="23"/>
      <c r="S63" s="23">
        <v>6694.3</v>
      </c>
      <c r="T63" s="23"/>
      <c r="U63" s="23"/>
      <c r="V63" s="23"/>
      <c r="W63" s="23">
        <v>323.8</v>
      </c>
      <c r="X63" s="23">
        <v>4075.3</v>
      </c>
      <c r="Y63" s="23">
        <v>4401.8999999999996</v>
      </c>
      <c r="Z63" s="23">
        <v>4075.2</v>
      </c>
      <c r="AA63" s="23">
        <v>3802</v>
      </c>
      <c r="AB63" s="23">
        <v>4075.2</v>
      </c>
      <c r="AC63" s="23"/>
      <c r="AD63" s="23">
        <v>4075.2</v>
      </c>
      <c r="AE63" s="13"/>
      <c r="AF63" s="100"/>
      <c r="AG63" s="15"/>
      <c r="AH63" s="15"/>
      <c r="AI63" s="15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</row>
    <row r="64" spans="1:62" ht="18.75" x14ac:dyDescent="0.3">
      <c r="A64" s="22" t="s">
        <v>31</v>
      </c>
      <c r="B64" s="92">
        <f>H64+J64+L64+N64+P64+R64+T64+V64+X64+Z64+AB64+AD64</f>
        <v>15025.6</v>
      </c>
      <c r="C64" s="28">
        <f>H64+J64+L64+N64+P64+R64+T64+V64+X64+Z64</f>
        <v>12025.6</v>
      </c>
      <c r="D64" s="29">
        <f>E64</f>
        <v>12025.599999999999</v>
      </c>
      <c r="E64" s="28">
        <f t="shared" si="58"/>
        <v>12025.599999999999</v>
      </c>
      <c r="F64" s="24">
        <f t="shared" si="59"/>
        <v>80.034075178362258</v>
      </c>
      <c r="G64" s="24">
        <f>E64/C64*100</f>
        <v>99.999999999999986</v>
      </c>
      <c r="H64" s="13"/>
      <c r="I64" s="13"/>
      <c r="J64" s="13">
        <v>6025</v>
      </c>
      <c r="K64" s="13">
        <v>2301.8000000000002</v>
      </c>
      <c r="L64" s="13"/>
      <c r="M64" s="13">
        <v>3413.6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23"/>
      <c r="Y64" s="23"/>
      <c r="Z64" s="23">
        <v>6000.6</v>
      </c>
      <c r="AA64" s="23">
        <v>6310.2</v>
      </c>
      <c r="AB64" s="23">
        <v>0</v>
      </c>
      <c r="AC64" s="23"/>
      <c r="AD64" s="23">
        <v>3000</v>
      </c>
      <c r="AE64" s="13"/>
      <c r="AF64" s="17"/>
      <c r="AG64" s="15"/>
      <c r="AH64" s="15"/>
      <c r="AI64" s="15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</row>
    <row r="65" spans="1:62" ht="18.75" x14ac:dyDescent="0.25">
      <c r="A65" s="105" t="s">
        <v>41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7"/>
      <c r="AF65" s="100"/>
      <c r="AG65" s="15"/>
      <c r="AH65" s="15"/>
      <c r="AI65" s="15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</row>
    <row r="66" spans="1:62" ht="18.75" x14ac:dyDescent="0.3">
      <c r="A66" s="19" t="s">
        <v>27</v>
      </c>
      <c r="B66" s="27">
        <f>H66+J66+L66+N66+P66+R66+T66+V66+X66+Z66+AB66+AD66</f>
        <v>3840</v>
      </c>
      <c r="C66" s="35">
        <f>SUM(C67:C70)</f>
        <v>3280</v>
      </c>
      <c r="D66" s="35">
        <f t="shared" ref="D66:E66" si="61">SUM(D67:D70)</f>
        <v>2884</v>
      </c>
      <c r="E66" s="35">
        <f t="shared" si="61"/>
        <v>2884</v>
      </c>
      <c r="F66" s="21">
        <f>E66/B66*100</f>
        <v>75.104166666666671</v>
      </c>
      <c r="G66" s="21">
        <f>E66/C66*100</f>
        <v>87.926829268292678</v>
      </c>
      <c r="H66" s="13">
        <f>SUM(H67:H70)</f>
        <v>280</v>
      </c>
      <c r="I66" s="13">
        <f t="shared" ref="I66:AE66" si="62">SUM(I67:I70)</f>
        <v>0</v>
      </c>
      <c r="J66" s="13">
        <f t="shared" si="62"/>
        <v>280</v>
      </c>
      <c r="K66" s="13">
        <f t="shared" si="62"/>
        <v>244</v>
      </c>
      <c r="L66" s="13">
        <f t="shared" si="62"/>
        <v>280</v>
      </c>
      <c r="M66" s="13">
        <f t="shared" si="62"/>
        <v>296</v>
      </c>
      <c r="N66" s="13">
        <f t="shared" si="62"/>
        <v>280</v>
      </c>
      <c r="O66" s="13">
        <f t="shared" si="62"/>
        <v>300</v>
      </c>
      <c r="P66" s="13">
        <f t="shared" si="62"/>
        <v>280</v>
      </c>
      <c r="Q66" s="13">
        <f t="shared" si="62"/>
        <v>308</v>
      </c>
      <c r="R66" s="13">
        <f t="shared" si="62"/>
        <v>280</v>
      </c>
      <c r="S66" s="13">
        <f t="shared" si="62"/>
        <v>332</v>
      </c>
      <c r="T66" s="13">
        <f t="shared" si="62"/>
        <v>280</v>
      </c>
      <c r="U66" s="13">
        <f t="shared" si="62"/>
        <v>360</v>
      </c>
      <c r="V66" s="13">
        <f t="shared" si="62"/>
        <v>280</v>
      </c>
      <c r="W66" s="13">
        <f t="shared" si="62"/>
        <v>364</v>
      </c>
      <c r="X66" s="13">
        <f t="shared" si="62"/>
        <v>280</v>
      </c>
      <c r="Y66" s="13">
        <f t="shared" si="62"/>
        <v>316</v>
      </c>
      <c r="Z66" s="13">
        <f t="shared" si="62"/>
        <v>760</v>
      </c>
      <c r="AA66" s="13">
        <f t="shared" si="62"/>
        <v>364</v>
      </c>
      <c r="AB66" s="13">
        <f t="shared" si="62"/>
        <v>280</v>
      </c>
      <c r="AC66" s="13">
        <f t="shared" si="62"/>
        <v>0</v>
      </c>
      <c r="AD66" s="13">
        <f t="shared" si="62"/>
        <v>280</v>
      </c>
      <c r="AE66" s="13">
        <f t="shared" si="62"/>
        <v>0</v>
      </c>
      <c r="AF66" s="100"/>
      <c r="AG66" s="15"/>
      <c r="AH66" s="15"/>
      <c r="AI66" s="15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</row>
    <row r="67" spans="1:62" ht="150" x14ac:dyDescent="0.3">
      <c r="A67" s="22" t="s">
        <v>28</v>
      </c>
      <c r="B67" s="28">
        <f>H67+J67+L67+N67+P67+R67+T67+V67+X67+Z67+AB67+AD67</f>
        <v>3840</v>
      </c>
      <c r="C67" s="28">
        <f>H67+J67+L67+N67+P67+R67+T67+V67+X67+Z67</f>
        <v>3280</v>
      </c>
      <c r="D67" s="29">
        <f>E67</f>
        <v>2884</v>
      </c>
      <c r="E67" s="28">
        <f>I67+K67+M67+O67+Q67+S67+U67+W67+Y67+AA67+AC67+AE67</f>
        <v>2884</v>
      </c>
      <c r="F67" s="24">
        <f>E67/B67*100</f>
        <v>75.104166666666671</v>
      </c>
      <c r="G67" s="24">
        <f>E67/C67*100</f>
        <v>87.926829268292678</v>
      </c>
      <c r="H67" s="23">
        <v>280</v>
      </c>
      <c r="I67" s="23"/>
      <c r="J67" s="23">
        <v>280</v>
      </c>
      <c r="K67" s="23">
        <v>244</v>
      </c>
      <c r="L67" s="23">
        <v>280</v>
      </c>
      <c r="M67" s="23">
        <v>296</v>
      </c>
      <c r="N67" s="23">
        <v>280</v>
      </c>
      <c r="O67" s="23">
        <v>300</v>
      </c>
      <c r="P67" s="23">
        <v>280</v>
      </c>
      <c r="Q67" s="23">
        <v>308</v>
      </c>
      <c r="R67" s="23">
        <v>280</v>
      </c>
      <c r="S67" s="23">
        <v>332</v>
      </c>
      <c r="T67" s="23">
        <v>280</v>
      </c>
      <c r="U67" s="23">
        <v>360</v>
      </c>
      <c r="V67" s="23">
        <v>280</v>
      </c>
      <c r="W67" s="23">
        <v>364</v>
      </c>
      <c r="X67" s="23">
        <f>280</f>
        <v>280</v>
      </c>
      <c r="Y67" s="23">
        <v>316</v>
      </c>
      <c r="Z67" s="23">
        <f>280+480</f>
        <v>760</v>
      </c>
      <c r="AA67" s="23">
        <v>364</v>
      </c>
      <c r="AB67" s="23">
        <v>280</v>
      </c>
      <c r="AC67" s="23">
        <v>0</v>
      </c>
      <c r="AD67" s="23">
        <v>280</v>
      </c>
      <c r="AE67" s="23"/>
      <c r="AF67" s="36" t="s">
        <v>126</v>
      </c>
      <c r="AG67" s="15">
        <f>C67-E67</f>
        <v>396</v>
      </c>
      <c r="AH67" s="15"/>
      <c r="AI67" s="15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</row>
    <row r="68" spans="1:62" ht="18.75" x14ac:dyDescent="0.3">
      <c r="A68" s="22" t="s">
        <v>29</v>
      </c>
      <c r="B68" s="37">
        <f t="shared" ref="B68:B70" si="63">H68+J68+L68+N68+P68+R68+T68+V68+X68+Z68+AB68+AD68</f>
        <v>0</v>
      </c>
      <c r="C68" s="37">
        <f t="shared" ref="C68:C70" si="64">H68</f>
        <v>0</v>
      </c>
      <c r="D68" s="38"/>
      <c r="E68" s="37">
        <f t="shared" ref="E68:E70" si="65">I68+K68+M68+O68+Q68+S68+U68+W68+Y68+AA68+AC68+AE68</f>
        <v>0</v>
      </c>
      <c r="F68" s="24" t="e">
        <f t="shared" ref="F68:F70" si="66">E68/B68*100</f>
        <v>#DIV/0!</v>
      </c>
      <c r="G68" s="24" t="e">
        <f t="shared" ref="G68:G70" si="67">E68/C68*100</f>
        <v>#DIV/0!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100"/>
      <c r="AG68" s="15"/>
      <c r="AH68" s="15"/>
      <c r="AI68" s="15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</row>
    <row r="69" spans="1:62" ht="18.75" x14ac:dyDescent="0.3">
      <c r="A69" s="22" t="s">
        <v>30</v>
      </c>
      <c r="B69" s="37">
        <f t="shared" si="63"/>
        <v>0</v>
      </c>
      <c r="C69" s="37">
        <f t="shared" si="64"/>
        <v>0</v>
      </c>
      <c r="D69" s="38"/>
      <c r="E69" s="37">
        <f t="shared" si="65"/>
        <v>0</v>
      </c>
      <c r="F69" s="24" t="e">
        <f t="shared" si="66"/>
        <v>#DIV/0!</v>
      </c>
      <c r="G69" s="24" t="e">
        <f t="shared" si="67"/>
        <v>#DIV/0!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00"/>
      <c r="AG69" s="15"/>
      <c r="AH69" s="15"/>
      <c r="AI69" s="15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</row>
    <row r="70" spans="1:62" ht="18.75" x14ac:dyDescent="0.3">
      <c r="A70" s="22" t="s">
        <v>31</v>
      </c>
      <c r="B70" s="37">
        <f t="shared" si="63"/>
        <v>0</v>
      </c>
      <c r="C70" s="37">
        <f t="shared" si="64"/>
        <v>0</v>
      </c>
      <c r="D70" s="38"/>
      <c r="E70" s="37">
        <f t="shared" si="65"/>
        <v>0</v>
      </c>
      <c r="F70" s="24" t="e">
        <f t="shared" si="66"/>
        <v>#DIV/0!</v>
      </c>
      <c r="G70" s="24" t="e">
        <f t="shared" si="67"/>
        <v>#DIV/0!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00"/>
      <c r="AG70" s="15"/>
      <c r="AH70" s="15"/>
      <c r="AI70" s="15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</row>
    <row r="71" spans="1:62" ht="18.75" x14ac:dyDescent="0.25">
      <c r="A71" s="105" t="s">
        <v>42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7"/>
      <c r="AF71" s="100"/>
      <c r="AG71" s="15"/>
      <c r="AH71" s="15"/>
      <c r="AI71" s="15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</row>
    <row r="72" spans="1:62" ht="18.75" x14ac:dyDescent="0.3">
      <c r="A72" s="19" t="s">
        <v>27</v>
      </c>
      <c r="B72" s="27">
        <f>H72+J72+L72+N72+P72+R72+T72+V72+X72+Z72+AB72+AD72</f>
        <v>16910.8</v>
      </c>
      <c r="C72" s="35">
        <f>SUM(C73:C76)</f>
        <v>11502.7</v>
      </c>
      <c r="D72" s="35">
        <f t="shared" ref="D72:E72" si="68">SUM(D73:D76)</f>
        <v>11219.8</v>
      </c>
      <c r="E72" s="35">
        <f t="shared" si="68"/>
        <v>11219.8</v>
      </c>
      <c r="F72" s="21">
        <f>E72/B72*100</f>
        <v>66.346949878184361</v>
      </c>
      <c r="G72" s="21">
        <f>E72/C72*100</f>
        <v>97.54057742964693</v>
      </c>
      <c r="H72" s="13">
        <f>SUM(H73:H76)</f>
        <v>1150</v>
      </c>
      <c r="I72" s="13">
        <f t="shared" ref="I72:AE72" si="69">SUM(I73:I76)</f>
        <v>0</v>
      </c>
      <c r="J72" s="13">
        <f t="shared" si="69"/>
        <v>1150</v>
      </c>
      <c r="K72" s="13">
        <f t="shared" si="69"/>
        <v>1051.2</v>
      </c>
      <c r="L72" s="13">
        <f t="shared" si="69"/>
        <v>1150</v>
      </c>
      <c r="M72" s="13">
        <f t="shared" si="69"/>
        <v>1212.2</v>
      </c>
      <c r="N72" s="13">
        <f t="shared" si="69"/>
        <v>1150</v>
      </c>
      <c r="O72" s="13">
        <f t="shared" si="69"/>
        <v>1218.9000000000001</v>
      </c>
      <c r="P72" s="13">
        <f t="shared" si="69"/>
        <v>3452.7</v>
      </c>
      <c r="Q72" s="13">
        <f t="shared" si="69"/>
        <v>1223.7</v>
      </c>
      <c r="R72" s="13">
        <f t="shared" si="69"/>
        <v>0</v>
      </c>
      <c r="S72" s="13">
        <f t="shared" si="69"/>
        <v>1297.2</v>
      </c>
      <c r="T72" s="13">
        <f t="shared" si="69"/>
        <v>0</v>
      </c>
      <c r="U72" s="13">
        <f t="shared" si="69"/>
        <v>1422.2</v>
      </c>
      <c r="V72" s="13">
        <f t="shared" si="69"/>
        <v>1150</v>
      </c>
      <c r="W72" s="13">
        <f t="shared" si="69"/>
        <v>1279.4000000000001</v>
      </c>
      <c r="X72" s="13">
        <f t="shared" si="69"/>
        <v>1150</v>
      </c>
      <c r="Y72" s="13">
        <f t="shared" si="69"/>
        <v>1279.4000000000001</v>
      </c>
      <c r="Z72" s="13">
        <f t="shared" si="69"/>
        <v>1150</v>
      </c>
      <c r="AA72" s="13">
        <f t="shared" si="69"/>
        <v>1235.5999999999999</v>
      </c>
      <c r="AB72" s="13">
        <f t="shared" si="69"/>
        <v>4250</v>
      </c>
      <c r="AC72" s="13">
        <f t="shared" si="69"/>
        <v>0</v>
      </c>
      <c r="AD72" s="13">
        <f t="shared" si="69"/>
        <v>1158.0999999999999</v>
      </c>
      <c r="AE72" s="13">
        <f t="shared" si="69"/>
        <v>0</v>
      </c>
      <c r="AF72" s="100"/>
      <c r="AG72" s="15"/>
      <c r="AH72" s="15"/>
      <c r="AI72" s="15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</row>
    <row r="73" spans="1:62" ht="99" customHeight="1" x14ac:dyDescent="0.3">
      <c r="A73" s="22" t="s">
        <v>28</v>
      </c>
      <c r="B73" s="28">
        <f>H73+J73+L73+N73+P73+R73+T73+V73+X73+Z73+AB73+AD73</f>
        <v>16910.8</v>
      </c>
      <c r="C73" s="28">
        <f>H73+J73+L73+N73+P73+R73+T73+V73+X73+Z73</f>
        <v>11502.7</v>
      </c>
      <c r="D73" s="29">
        <f>E73</f>
        <v>11219.8</v>
      </c>
      <c r="E73" s="28">
        <f>I73+K73+M73+O73+Q73+S73+U73+W73+Y73+AA73+AC73+AE73</f>
        <v>11219.8</v>
      </c>
      <c r="F73" s="24">
        <f>E73/B73*100</f>
        <v>66.346949878184361</v>
      </c>
      <c r="G73" s="24">
        <f>E73/C73*100</f>
        <v>97.54057742964693</v>
      </c>
      <c r="H73" s="23">
        <v>1150</v>
      </c>
      <c r="I73" s="23"/>
      <c r="J73" s="23">
        <v>1150</v>
      </c>
      <c r="K73" s="23">
        <v>1051.2</v>
      </c>
      <c r="L73" s="23">
        <v>1150</v>
      </c>
      <c r="M73" s="23">
        <v>1212.2</v>
      </c>
      <c r="N73" s="23">
        <v>1150</v>
      </c>
      <c r="O73" s="23">
        <v>1218.9000000000001</v>
      </c>
      <c r="P73" s="23">
        <v>3452.7</v>
      </c>
      <c r="Q73" s="23">
        <v>1223.7</v>
      </c>
      <c r="R73" s="23"/>
      <c r="S73" s="23">
        <v>1297.2</v>
      </c>
      <c r="T73" s="23"/>
      <c r="U73" s="23">
        <v>1422.2</v>
      </c>
      <c r="V73" s="23">
        <v>1150</v>
      </c>
      <c r="W73" s="23">
        <v>1279.4000000000001</v>
      </c>
      <c r="X73" s="23">
        <v>1150</v>
      </c>
      <c r="Y73" s="23">
        <v>1279.4000000000001</v>
      </c>
      <c r="Z73" s="23">
        <v>1150</v>
      </c>
      <c r="AA73" s="23">
        <v>1235.5999999999999</v>
      </c>
      <c r="AB73" s="23">
        <f>1150+3100</f>
        <v>4250</v>
      </c>
      <c r="AC73" s="23"/>
      <c r="AD73" s="23">
        <v>1158.0999999999999</v>
      </c>
      <c r="AE73" s="23"/>
      <c r="AF73" s="36" t="s">
        <v>127</v>
      </c>
      <c r="AG73" s="15"/>
      <c r="AH73" s="15"/>
      <c r="AI73" s="15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</row>
    <row r="74" spans="1:62" ht="18.75" x14ac:dyDescent="0.3">
      <c r="A74" s="22" t="s">
        <v>29</v>
      </c>
      <c r="B74" s="37">
        <f t="shared" ref="B74:B76" si="70">H74+J74+L74+N74+P74+R74+T74+V74+X74+Z74+AB74+AD74</f>
        <v>0</v>
      </c>
      <c r="C74" s="28">
        <f t="shared" ref="C74:C76" si="71">H74</f>
        <v>0</v>
      </c>
      <c r="D74" s="38"/>
      <c r="E74" s="37">
        <f t="shared" ref="E74:E76" si="72">I74+K74+M74+O74+Q74+S74+U74+W74+Y74+AA74+AC74+AE74</f>
        <v>0</v>
      </c>
      <c r="F74" s="24" t="e">
        <f t="shared" ref="F74:F76" si="73">E74/B74*100</f>
        <v>#DIV/0!</v>
      </c>
      <c r="G74" s="24" t="e">
        <f t="shared" ref="G74:G76" si="74">E74/C74*100</f>
        <v>#DIV/0!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100"/>
      <c r="AG74" s="15"/>
      <c r="AH74" s="15"/>
      <c r="AI74" s="15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</row>
    <row r="75" spans="1:62" ht="18.75" x14ac:dyDescent="0.3">
      <c r="A75" s="22" t="s">
        <v>30</v>
      </c>
      <c r="B75" s="37">
        <f t="shared" si="70"/>
        <v>0</v>
      </c>
      <c r="C75" s="28">
        <f t="shared" si="71"/>
        <v>0</v>
      </c>
      <c r="D75" s="38"/>
      <c r="E75" s="37">
        <f t="shared" si="72"/>
        <v>0</v>
      </c>
      <c r="F75" s="24" t="e">
        <f t="shared" si="73"/>
        <v>#DIV/0!</v>
      </c>
      <c r="G75" s="24" t="e">
        <f t="shared" si="74"/>
        <v>#DIV/0!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00"/>
      <c r="AG75" s="15"/>
      <c r="AH75" s="15"/>
      <c r="AI75" s="15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</row>
    <row r="76" spans="1:62" ht="18.75" x14ac:dyDescent="0.3">
      <c r="A76" s="22" t="s">
        <v>31</v>
      </c>
      <c r="B76" s="37">
        <f t="shared" si="70"/>
        <v>0</v>
      </c>
      <c r="C76" s="28">
        <f t="shared" si="71"/>
        <v>0</v>
      </c>
      <c r="D76" s="38"/>
      <c r="E76" s="37">
        <f t="shared" si="72"/>
        <v>0</v>
      </c>
      <c r="F76" s="24" t="e">
        <f t="shared" si="73"/>
        <v>#DIV/0!</v>
      </c>
      <c r="G76" s="24" t="e">
        <f t="shared" si="74"/>
        <v>#DIV/0!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00"/>
      <c r="AG76" s="15"/>
      <c r="AH76" s="15"/>
      <c r="AI76" s="15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</row>
    <row r="77" spans="1:62" ht="20.25" x14ac:dyDescent="0.25">
      <c r="A77" s="108" t="s">
        <v>43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10"/>
      <c r="AF77" s="100"/>
      <c r="AG77" s="15"/>
      <c r="AH77" s="15"/>
      <c r="AI77" s="15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</row>
    <row r="78" spans="1:62" ht="120.75" customHeight="1" x14ac:dyDescent="0.3">
      <c r="A78" s="19" t="s">
        <v>27</v>
      </c>
      <c r="B78" s="13">
        <f>B79+B80+B82+B83</f>
        <v>45225.7</v>
      </c>
      <c r="C78" s="13">
        <f t="shared" ref="C78:E78" si="75">C79+C80+C82+C83</f>
        <v>44506.5</v>
      </c>
      <c r="D78" s="13">
        <f t="shared" si="75"/>
        <v>41886.19</v>
      </c>
      <c r="E78" s="13">
        <f t="shared" si="75"/>
        <v>41886.19</v>
      </c>
      <c r="F78" s="21">
        <f>E78/B78*100</f>
        <v>92.615902020311466</v>
      </c>
      <c r="G78" s="21">
        <f>E78/C78*100</f>
        <v>94.112522889914956</v>
      </c>
      <c r="H78" s="13">
        <f>H79+H80+H82+H83</f>
        <v>0</v>
      </c>
      <c r="I78" s="13">
        <f t="shared" ref="I78:AE78" si="76">I79+I80+I82+I83</f>
        <v>0</v>
      </c>
      <c r="J78" s="13">
        <f t="shared" si="76"/>
        <v>12.5</v>
      </c>
      <c r="K78" s="13">
        <f t="shared" si="76"/>
        <v>12.5</v>
      </c>
      <c r="L78" s="13">
        <f t="shared" si="76"/>
        <v>105</v>
      </c>
      <c r="M78" s="13">
        <f t="shared" si="76"/>
        <v>105</v>
      </c>
      <c r="N78" s="13">
        <f t="shared" si="76"/>
        <v>5342.4</v>
      </c>
      <c r="O78" s="13">
        <f t="shared" si="76"/>
        <v>5336.8</v>
      </c>
      <c r="P78" s="13">
        <f t="shared" si="76"/>
        <v>3025</v>
      </c>
      <c r="Q78" s="13">
        <f t="shared" si="76"/>
        <v>2274.9</v>
      </c>
      <c r="R78" s="13">
        <f t="shared" si="76"/>
        <v>16322.999999999998</v>
      </c>
      <c r="S78" s="13">
        <f t="shared" si="76"/>
        <v>17366.3</v>
      </c>
      <c r="T78" s="13">
        <f t="shared" si="76"/>
        <v>13049.100000000002</v>
      </c>
      <c r="U78" s="13">
        <f t="shared" si="76"/>
        <v>11886.25</v>
      </c>
      <c r="V78" s="13">
        <f t="shared" si="76"/>
        <v>5730.2</v>
      </c>
      <c r="W78" s="13">
        <f t="shared" si="76"/>
        <v>4365.2999999999993</v>
      </c>
      <c r="X78" s="13">
        <f t="shared" si="76"/>
        <v>0</v>
      </c>
      <c r="Y78" s="13">
        <f t="shared" si="76"/>
        <v>539.14</v>
      </c>
      <c r="Z78" s="13">
        <f t="shared" si="76"/>
        <v>919.3</v>
      </c>
      <c r="AA78" s="13">
        <f t="shared" si="76"/>
        <v>0</v>
      </c>
      <c r="AB78" s="13">
        <f t="shared" si="76"/>
        <v>103.5</v>
      </c>
      <c r="AC78" s="13">
        <f t="shared" si="76"/>
        <v>0</v>
      </c>
      <c r="AD78" s="13">
        <f t="shared" si="76"/>
        <v>615.70000000000005</v>
      </c>
      <c r="AE78" s="13">
        <f t="shared" si="76"/>
        <v>0</v>
      </c>
      <c r="AF78" s="32" t="s">
        <v>128</v>
      </c>
      <c r="AG78" s="15"/>
      <c r="AH78" s="15"/>
      <c r="AI78" s="15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</row>
    <row r="79" spans="1:62" ht="18.75" x14ac:dyDescent="0.3">
      <c r="A79" s="22" t="s">
        <v>28</v>
      </c>
      <c r="B79" s="28">
        <f>B86+B93+B100</f>
        <v>20591.400000000001</v>
      </c>
      <c r="C79" s="28">
        <f>C86+C93+C100</f>
        <v>20022.7</v>
      </c>
      <c r="D79" s="28">
        <f t="shared" ref="D79:E79" si="77">D86+D93+D100</f>
        <v>18420.550000000003</v>
      </c>
      <c r="E79" s="28">
        <f t="shared" si="77"/>
        <v>18420.550000000003</v>
      </c>
      <c r="F79" s="24">
        <f t="shared" ref="F79:F83" si="78">E79/B79*100</f>
        <v>89.457491962664037</v>
      </c>
      <c r="G79" s="24">
        <f t="shared" ref="G79:G83" si="79">E79/C79*100</f>
        <v>91.998331893301113</v>
      </c>
      <c r="H79" s="28">
        <f t="shared" ref="H79:AE83" si="80">H86+H93+H100</f>
        <v>0</v>
      </c>
      <c r="I79" s="28">
        <f t="shared" si="80"/>
        <v>0</v>
      </c>
      <c r="J79" s="28">
        <f t="shared" si="80"/>
        <v>0</v>
      </c>
      <c r="K79" s="28">
        <f t="shared" si="80"/>
        <v>0</v>
      </c>
      <c r="L79" s="28">
        <f t="shared" si="80"/>
        <v>0</v>
      </c>
      <c r="M79" s="28">
        <f t="shared" si="80"/>
        <v>0</v>
      </c>
      <c r="N79" s="28">
        <f t="shared" si="80"/>
        <v>1002.8</v>
      </c>
      <c r="O79" s="28">
        <f t="shared" si="80"/>
        <v>1002.8</v>
      </c>
      <c r="P79" s="28">
        <f t="shared" si="80"/>
        <v>0</v>
      </c>
      <c r="Q79" s="28">
        <f t="shared" si="80"/>
        <v>0</v>
      </c>
      <c r="R79" s="28">
        <f t="shared" si="80"/>
        <v>5388.4</v>
      </c>
      <c r="S79" s="28">
        <f t="shared" si="80"/>
        <v>7130.7</v>
      </c>
      <c r="T79" s="28">
        <f t="shared" si="80"/>
        <v>8418.9000000000015</v>
      </c>
      <c r="U79" s="28">
        <f t="shared" si="80"/>
        <v>7052.8499999999995</v>
      </c>
      <c r="V79" s="28">
        <f t="shared" si="80"/>
        <v>4717.5</v>
      </c>
      <c r="W79" s="28">
        <f t="shared" si="80"/>
        <v>3234.2</v>
      </c>
      <c r="X79" s="28">
        <f t="shared" si="80"/>
        <v>0</v>
      </c>
      <c r="Y79" s="28">
        <f t="shared" si="80"/>
        <v>0</v>
      </c>
      <c r="Z79" s="28">
        <f t="shared" si="80"/>
        <v>495.1</v>
      </c>
      <c r="AA79" s="28">
        <f t="shared" si="80"/>
        <v>0</v>
      </c>
      <c r="AB79" s="28">
        <f t="shared" si="80"/>
        <v>0</v>
      </c>
      <c r="AC79" s="28">
        <f t="shared" si="80"/>
        <v>0</v>
      </c>
      <c r="AD79" s="28">
        <f t="shared" si="80"/>
        <v>568.69999999999982</v>
      </c>
      <c r="AE79" s="28">
        <f t="shared" si="80"/>
        <v>0</v>
      </c>
      <c r="AF79" s="32"/>
      <c r="AG79" s="15"/>
      <c r="AH79" s="15"/>
      <c r="AI79" s="15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</row>
    <row r="80" spans="1:62" ht="18.75" x14ac:dyDescent="0.3">
      <c r="A80" s="22" t="s">
        <v>29</v>
      </c>
      <c r="B80" s="28">
        <f t="shared" ref="B80:E83" si="81">B87+B94+B101</f>
        <v>18680.8</v>
      </c>
      <c r="C80" s="28">
        <f t="shared" si="81"/>
        <v>18633.8</v>
      </c>
      <c r="D80" s="28">
        <f t="shared" si="81"/>
        <v>17615.64</v>
      </c>
      <c r="E80" s="28">
        <f t="shared" si="81"/>
        <v>17615.64</v>
      </c>
      <c r="F80" s="24">
        <f t="shared" si="78"/>
        <v>94.298102864973671</v>
      </c>
      <c r="G80" s="24">
        <f t="shared" si="79"/>
        <v>94.535950799085526</v>
      </c>
      <c r="H80" s="28">
        <f t="shared" si="80"/>
        <v>0</v>
      </c>
      <c r="I80" s="28">
        <f t="shared" si="80"/>
        <v>0</v>
      </c>
      <c r="J80" s="28">
        <f t="shared" si="80"/>
        <v>12.5</v>
      </c>
      <c r="K80" s="28">
        <f t="shared" si="80"/>
        <v>12.5</v>
      </c>
      <c r="L80" s="28">
        <f t="shared" si="80"/>
        <v>105</v>
      </c>
      <c r="M80" s="28">
        <f t="shared" si="80"/>
        <v>105</v>
      </c>
      <c r="N80" s="28">
        <f t="shared" si="80"/>
        <v>339.6</v>
      </c>
      <c r="O80" s="28">
        <f t="shared" si="80"/>
        <v>334</v>
      </c>
      <c r="P80" s="28">
        <f t="shared" si="80"/>
        <v>3025</v>
      </c>
      <c r="Q80" s="28">
        <f t="shared" si="80"/>
        <v>2274.9</v>
      </c>
      <c r="R80" s="28">
        <f t="shared" si="80"/>
        <v>9084.5999999999985</v>
      </c>
      <c r="S80" s="28">
        <f t="shared" si="80"/>
        <v>8385.6</v>
      </c>
      <c r="T80" s="28">
        <f t="shared" si="80"/>
        <v>4630.2000000000007</v>
      </c>
      <c r="U80" s="28">
        <f t="shared" si="80"/>
        <v>4833.4000000000005</v>
      </c>
      <c r="V80" s="28">
        <f t="shared" si="80"/>
        <v>1012.7</v>
      </c>
      <c r="W80" s="28">
        <f t="shared" si="80"/>
        <v>1131.0999999999999</v>
      </c>
      <c r="X80" s="28">
        <f t="shared" si="80"/>
        <v>0</v>
      </c>
      <c r="Y80" s="28">
        <f t="shared" si="80"/>
        <v>539.14</v>
      </c>
      <c r="Z80" s="28">
        <f t="shared" si="80"/>
        <v>424.2</v>
      </c>
      <c r="AA80" s="28">
        <f t="shared" si="80"/>
        <v>0</v>
      </c>
      <c r="AB80" s="28">
        <f t="shared" si="80"/>
        <v>0</v>
      </c>
      <c r="AC80" s="28">
        <f t="shared" si="80"/>
        <v>0</v>
      </c>
      <c r="AD80" s="28">
        <f t="shared" si="80"/>
        <v>47.000000000000227</v>
      </c>
      <c r="AE80" s="28">
        <f t="shared" si="80"/>
        <v>0</v>
      </c>
      <c r="AF80" s="32"/>
      <c r="AG80" s="15"/>
      <c r="AH80" s="15"/>
      <c r="AI80" s="15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</row>
    <row r="81" spans="1:62" ht="37.5" x14ac:dyDescent="0.3">
      <c r="A81" s="22" t="s">
        <v>44</v>
      </c>
      <c r="B81" s="28">
        <f>B88+B95+B102</f>
        <v>2795.9999999999991</v>
      </c>
      <c r="C81" s="28">
        <f>C88+C95+C102</f>
        <v>2795.0999999999995</v>
      </c>
      <c r="D81" s="28">
        <f t="shared" si="81"/>
        <v>2265.6</v>
      </c>
      <c r="E81" s="28">
        <f t="shared" si="81"/>
        <v>2265.6</v>
      </c>
      <c r="F81" s="24">
        <f t="shared" si="78"/>
        <v>81.030042918454953</v>
      </c>
      <c r="G81" s="24">
        <f t="shared" si="79"/>
        <v>81.056133948695944</v>
      </c>
      <c r="H81" s="28">
        <f t="shared" si="80"/>
        <v>0</v>
      </c>
      <c r="I81" s="28">
        <f t="shared" si="80"/>
        <v>0</v>
      </c>
      <c r="J81" s="28">
        <f t="shared" si="80"/>
        <v>0</v>
      </c>
      <c r="K81" s="28">
        <f t="shared" si="80"/>
        <v>0</v>
      </c>
      <c r="L81" s="28">
        <f t="shared" si="80"/>
        <v>0</v>
      </c>
      <c r="M81" s="28">
        <f t="shared" si="80"/>
        <v>0</v>
      </c>
      <c r="N81" s="28">
        <f t="shared" si="80"/>
        <v>334</v>
      </c>
      <c r="O81" s="28">
        <f t="shared" si="80"/>
        <v>334</v>
      </c>
      <c r="P81" s="28">
        <f t="shared" si="80"/>
        <v>0</v>
      </c>
      <c r="Q81" s="28">
        <f t="shared" si="80"/>
        <v>0</v>
      </c>
      <c r="R81" s="28">
        <f t="shared" si="80"/>
        <v>784.1</v>
      </c>
      <c r="S81" s="28">
        <f t="shared" si="80"/>
        <v>784.1</v>
      </c>
      <c r="T81" s="28">
        <f t="shared" si="80"/>
        <v>625.4</v>
      </c>
      <c r="U81" s="28">
        <f t="shared" si="80"/>
        <v>625.4</v>
      </c>
      <c r="V81" s="28">
        <f t="shared" si="80"/>
        <v>717.5</v>
      </c>
      <c r="W81" s="28">
        <f t="shared" si="80"/>
        <v>522.1</v>
      </c>
      <c r="X81" s="28">
        <f t="shared" si="80"/>
        <v>0</v>
      </c>
      <c r="Y81" s="28">
        <f t="shared" si="80"/>
        <v>0</v>
      </c>
      <c r="Z81" s="28">
        <f t="shared" si="80"/>
        <v>334.1</v>
      </c>
      <c r="AA81" s="28">
        <f t="shared" si="80"/>
        <v>0</v>
      </c>
      <c r="AB81" s="28">
        <f t="shared" si="80"/>
        <v>0</v>
      </c>
      <c r="AC81" s="28">
        <f t="shared" si="80"/>
        <v>0</v>
      </c>
      <c r="AD81" s="28">
        <f t="shared" si="80"/>
        <v>0.8999999999996362</v>
      </c>
      <c r="AE81" s="28">
        <f t="shared" si="80"/>
        <v>0</v>
      </c>
      <c r="AF81" s="32"/>
      <c r="AG81" s="15"/>
      <c r="AH81" s="15"/>
      <c r="AI81" s="15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</row>
    <row r="82" spans="1:62" ht="18.75" x14ac:dyDescent="0.3">
      <c r="A82" s="22" t="s">
        <v>30</v>
      </c>
      <c r="B82" s="28">
        <f t="shared" si="81"/>
        <v>0</v>
      </c>
      <c r="C82" s="28">
        <f t="shared" si="81"/>
        <v>0</v>
      </c>
      <c r="D82" s="28">
        <f t="shared" si="81"/>
        <v>0</v>
      </c>
      <c r="E82" s="28">
        <f t="shared" si="81"/>
        <v>0</v>
      </c>
      <c r="F82" s="24" t="e">
        <f t="shared" si="78"/>
        <v>#DIV/0!</v>
      </c>
      <c r="G82" s="24" t="e">
        <f t="shared" si="79"/>
        <v>#DIV/0!</v>
      </c>
      <c r="H82" s="28">
        <f t="shared" si="80"/>
        <v>0</v>
      </c>
      <c r="I82" s="28">
        <f t="shared" si="80"/>
        <v>0</v>
      </c>
      <c r="J82" s="28">
        <f t="shared" si="80"/>
        <v>0</v>
      </c>
      <c r="K82" s="28">
        <f t="shared" si="80"/>
        <v>0</v>
      </c>
      <c r="L82" s="28">
        <f t="shared" si="80"/>
        <v>0</v>
      </c>
      <c r="M82" s="28">
        <f t="shared" si="80"/>
        <v>0</v>
      </c>
      <c r="N82" s="28">
        <f t="shared" si="80"/>
        <v>0</v>
      </c>
      <c r="O82" s="28">
        <f t="shared" si="80"/>
        <v>0</v>
      </c>
      <c r="P82" s="28">
        <f t="shared" si="80"/>
        <v>0</v>
      </c>
      <c r="Q82" s="28">
        <f t="shared" si="80"/>
        <v>0</v>
      </c>
      <c r="R82" s="28">
        <f t="shared" si="80"/>
        <v>0</v>
      </c>
      <c r="S82" s="28">
        <f t="shared" si="80"/>
        <v>0</v>
      </c>
      <c r="T82" s="28">
        <f t="shared" si="80"/>
        <v>0</v>
      </c>
      <c r="U82" s="28">
        <f t="shared" si="80"/>
        <v>0</v>
      </c>
      <c r="V82" s="28">
        <f t="shared" si="80"/>
        <v>0</v>
      </c>
      <c r="W82" s="28">
        <f t="shared" si="80"/>
        <v>0</v>
      </c>
      <c r="X82" s="28">
        <f t="shared" si="80"/>
        <v>0</v>
      </c>
      <c r="Y82" s="28">
        <f t="shared" si="80"/>
        <v>0</v>
      </c>
      <c r="Z82" s="28">
        <f t="shared" si="80"/>
        <v>0</v>
      </c>
      <c r="AA82" s="28">
        <f t="shared" si="80"/>
        <v>0</v>
      </c>
      <c r="AB82" s="28">
        <f t="shared" si="80"/>
        <v>0</v>
      </c>
      <c r="AC82" s="28">
        <f t="shared" si="80"/>
        <v>0</v>
      </c>
      <c r="AD82" s="28">
        <f t="shared" si="80"/>
        <v>0</v>
      </c>
      <c r="AE82" s="28">
        <f t="shared" si="80"/>
        <v>0</v>
      </c>
      <c r="AF82" s="32"/>
      <c r="AG82" s="15"/>
      <c r="AH82" s="15"/>
      <c r="AI82" s="15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</row>
    <row r="83" spans="1:62" ht="18.75" x14ac:dyDescent="0.3">
      <c r="A83" s="22" t="s">
        <v>31</v>
      </c>
      <c r="B83" s="28">
        <f t="shared" si="81"/>
        <v>5953.5</v>
      </c>
      <c r="C83" s="28">
        <f t="shared" si="81"/>
        <v>5850</v>
      </c>
      <c r="D83" s="28">
        <f t="shared" si="81"/>
        <v>5850</v>
      </c>
      <c r="E83" s="28">
        <f t="shared" si="81"/>
        <v>5850</v>
      </c>
      <c r="F83" s="24">
        <f t="shared" si="78"/>
        <v>98.261526832955397</v>
      </c>
      <c r="G83" s="24">
        <f t="shared" si="79"/>
        <v>100</v>
      </c>
      <c r="H83" s="28">
        <f t="shared" si="80"/>
        <v>0</v>
      </c>
      <c r="I83" s="28">
        <f t="shared" si="80"/>
        <v>0</v>
      </c>
      <c r="J83" s="28">
        <f t="shared" si="80"/>
        <v>0</v>
      </c>
      <c r="K83" s="28">
        <f t="shared" si="80"/>
        <v>0</v>
      </c>
      <c r="L83" s="28">
        <f t="shared" si="80"/>
        <v>0</v>
      </c>
      <c r="M83" s="28">
        <f t="shared" si="80"/>
        <v>0</v>
      </c>
      <c r="N83" s="28">
        <f t="shared" si="80"/>
        <v>4000</v>
      </c>
      <c r="O83" s="28">
        <f t="shared" si="80"/>
        <v>4000</v>
      </c>
      <c r="P83" s="28">
        <f t="shared" si="80"/>
        <v>0</v>
      </c>
      <c r="Q83" s="28">
        <f t="shared" si="80"/>
        <v>0</v>
      </c>
      <c r="R83" s="28">
        <f t="shared" si="80"/>
        <v>1850</v>
      </c>
      <c r="S83" s="28">
        <f t="shared" si="80"/>
        <v>1850</v>
      </c>
      <c r="T83" s="28">
        <f t="shared" si="80"/>
        <v>0</v>
      </c>
      <c r="U83" s="28">
        <f t="shared" si="80"/>
        <v>0</v>
      </c>
      <c r="V83" s="28">
        <f t="shared" si="80"/>
        <v>0</v>
      </c>
      <c r="W83" s="28">
        <f t="shared" si="80"/>
        <v>0</v>
      </c>
      <c r="X83" s="28">
        <f t="shared" si="80"/>
        <v>0</v>
      </c>
      <c r="Y83" s="28">
        <f t="shared" si="80"/>
        <v>0</v>
      </c>
      <c r="Z83" s="28">
        <f t="shared" si="80"/>
        <v>0</v>
      </c>
      <c r="AA83" s="28">
        <f t="shared" si="80"/>
        <v>0</v>
      </c>
      <c r="AB83" s="28">
        <f t="shared" si="80"/>
        <v>103.5</v>
      </c>
      <c r="AC83" s="28">
        <f t="shared" si="80"/>
        <v>0</v>
      </c>
      <c r="AD83" s="28">
        <f t="shared" si="80"/>
        <v>0</v>
      </c>
      <c r="AE83" s="28">
        <f t="shared" si="80"/>
        <v>0</v>
      </c>
      <c r="AF83" s="32"/>
      <c r="AG83" s="15"/>
      <c r="AH83" s="15"/>
      <c r="AI83" s="15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62" ht="61.5" customHeight="1" x14ac:dyDescent="0.25">
      <c r="A84" s="105" t="s">
        <v>45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7"/>
      <c r="AF84" s="111"/>
      <c r="AG84" s="15"/>
      <c r="AH84" s="15"/>
      <c r="AI84" s="15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</row>
    <row r="85" spans="1:62" ht="18.75" x14ac:dyDescent="0.3">
      <c r="A85" s="19" t="s">
        <v>27</v>
      </c>
      <c r="B85" s="27">
        <f>H85+J85+L85+N85+P85+R85+T85+V85+X85+Z85+AB85+AD85</f>
        <v>42408.5</v>
      </c>
      <c r="C85" s="13">
        <f t="shared" ref="C85:E85" si="82">C86+C87+C89+C90</f>
        <v>41792.800000000003</v>
      </c>
      <c r="D85" s="13">
        <f t="shared" si="82"/>
        <v>39395.199999999997</v>
      </c>
      <c r="E85" s="13">
        <f t="shared" si="82"/>
        <v>39395.199999999997</v>
      </c>
      <c r="F85" s="21">
        <f>E85/B85*100</f>
        <v>92.894584812007025</v>
      </c>
      <c r="G85" s="21">
        <f>E85/C85*100</f>
        <v>94.26312666296586</v>
      </c>
      <c r="H85" s="13">
        <f>H86+H87+H89+H90</f>
        <v>0</v>
      </c>
      <c r="I85" s="13">
        <f t="shared" ref="I85:AE85" si="83">I86+I87+I89+I90</f>
        <v>0</v>
      </c>
      <c r="J85" s="13">
        <f t="shared" si="83"/>
        <v>0</v>
      </c>
      <c r="K85" s="13">
        <f t="shared" si="83"/>
        <v>0</v>
      </c>
      <c r="L85" s="13">
        <f t="shared" si="83"/>
        <v>105</v>
      </c>
      <c r="M85" s="13">
        <f t="shared" si="83"/>
        <v>105</v>
      </c>
      <c r="N85" s="13">
        <f t="shared" si="83"/>
        <v>5336.8</v>
      </c>
      <c r="O85" s="13">
        <f t="shared" si="83"/>
        <v>5336.8</v>
      </c>
      <c r="P85" s="13">
        <f t="shared" si="83"/>
        <v>2260</v>
      </c>
      <c r="Q85" s="13">
        <f t="shared" si="83"/>
        <v>2260</v>
      </c>
      <c r="R85" s="13">
        <f t="shared" si="83"/>
        <v>15655.599999999999</v>
      </c>
      <c r="S85" s="13">
        <f t="shared" si="83"/>
        <v>16606.400000000001</v>
      </c>
      <c r="T85" s="13">
        <f t="shared" si="83"/>
        <v>12081.100000000002</v>
      </c>
      <c r="U85" s="13">
        <f t="shared" si="83"/>
        <v>11061.5</v>
      </c>
      <c r="V85" s="13">
        <f t="shared" si="83"/>
        <v>5435</v>
      </c>
      <c r="W85" s="13">
        <f t="shared" si="83"/>
        <v>4025.5</v>
      </c>
      <c r="X85" s="13">
        <f t="shared" si="83"/>
        <v>0</v>
      </c>
      <c r="Y85" s="13">
        <f t="shared" si="83"/>
        <v>0</v>
      </c>
      <c r="Z85" s="13">
        <f t="shared" si="83"/>
        <v>919.3</v>
      </c>
      <c r="AA85" s="13">
        <f t="shared" si="83"/>
        <v>0</v>
      </c>
      <c r="AB85" s="13">
        <f t="shared" si="83"/>
        <v>0</v>
      </c>
      <c r="AC85" s="13">
        <f t="shared" si="83"/>
        <v>0</v>
      </c>
      <c r="AD85" s="13">
        <f t="shared" si="83"/>
        <v>615.70000000000005</v>
      </c>
      <c r="AE85" s="13">
        <f t="shared" si="83"/>
        <v>0</v>
      </c>
      <c r="AF85" s="112"/>
      <c r="AG85" s="15"/>
      <c r="AH85" s="15"/>
      <c r="AI85" s="15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</row>
    <row r="86" spans="1:62" ht="18.75" x14ac:dyDescent="0.3">
      <c r="A86" s="22" t="s">
        <v>28</v>
      </c>
      <c r="B86" s="28">
        <f>H86+J86+L86+N86+P86+R86+T86+V86+X86+Z86+AB86+AD86</f>
        <v>20150.2</v>
      </c>
      <c r="C86" s="28">
        <f>H86+J86+L86+N86+P86+R86+T86+V86+X86+Z86</f>
        <v>19581.5</v>
      </c>
      <c r="D86" s="29">
        <f>E86</f>
        <v>17991.900000000001</v>
      </c>
      <c r="E86" s="28">
        <f>I86+K86+M86+O86+Q86+S86+U86+W86+Y86+AA86+AC86+AE86</f>
        <v>17991.900000000001</v>
      </c>
      <c r="F86" s="24">
        <f>E86/B86*100</f>
        <v>89.288940060148292</v>
      </c>
      <c r="G86" s="24">
        <f>E86/C86*100</f>
        <v>91.882133646554152</v>
      </c>
      <c r="H86" s="23"/>
      <c r="I86" s="23"/>
      <c r="J86" s="23"/>
      <c r="K86" s="23"/>
      <c r="L86" s="23"/>
      <c r="M86" s="23"/>
      <c r="N86" s="23">
        <v>1002.8</v>
      </c>
      <c r="O86" s="23">
        <v>1002.8</v>
      </c>
      <c r="P86" s="23"/>
      <c r="Q86" s="23"/>
      <c r="R86" s="23">
        <f>7130.7+2352.6-4094.9</f>
        <v>5388.4</v>
      </c>
      <c r="S86" s="23">
        <v>7130.7</v>
      </c>
      <c r="T86" s="23">
        <f>6542.8+1434.9</f>
        <v>7977.7000000000007</v>
      </c>
      <c r="U86" s="23">
        <v>6624.2</v>
      </c>
      <c r="V86" s="23">
        <v>4717.5</v>
      </c>
      <c r="W86" s="23">
        <v>3234.2</v>
      </c>
      <c r="X86" s="23"/>
      <c r="Y86" s="23"/>
      <c r="Z86" s="23">
        <v>495.1</v>
      </c>
      <c r="AA86" s="23"/>
      <c r="AB86" s="23"/>
      <c r="AC86" s="23"/>
      <c r="AD86" s="23">
        <f>6321.8-5753.1</f>
        <v>568.69999999999982</v>
      </c>
      <c r="AE86" s="23"/>
      <c r="AF86" s="112"/>
      <c r="AG86" s="15"/>
      <c r="AH86" s="15"/>
      <c r="AI86" s="15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</row>
    <row r="87" spans="1:62" ht="18.75" x14ac:dyDescent="0.3">
      <c r="A87" s="22" t="s">
        <v>29</v>
      </c>
      <c r="B87" s="28">
        <f t="shared" ref="B87:B90" si="84">H87+J87+L87+N87+P87+R87+T87+V87+X87+Z87+AB87+AD87</f>
        <v>16408.3</v>
      </c>
      <c r="C87" s="28">
        <f t="shared" ref="C87:C90" si="85">H87+J87+L87+N87+P87+R87+T87+V87+X87+Z87</f>
        <v>16361.3</v>
      </c>
      <c r="D87" s="29">
        <f>E87</f>
        <v>15553.3</v>
      </c>
      <c r="E87" s="28">
        <f>I87+K87+M87+O87+Q87+S87+U87+W87+Y87+AA87+AC87+AE87</f>
        <v>15553.3</v>
      </c>
      <c r="F87" s="24">
        <f t="shared" ref="F87:F90" si="86">E87/B87*100</f>
        <v>94.789222527623224</v>
      </c>
      <c r="G87" s="24">
        <f>E87/C87*100</f>
        <v>95.061517116610545</v>
      </c>
      <c r="H87" s="23"/>
      <c r="I87" s="23"/>
      <c r="J87" s="23"/>
      <c r="K87" s="23"/>
      <c r="L87" s="23">
        <v>105</v>
      </c>
      <c r="M87" s="23">
        <v>105</v>
      </c>
      <c r="N87" s="23">
        <v>334</v>
      </c>
      <c r="O87" s="23">
        <v>334</v>
      </c>
      <c r="P87" s="23">
        <v>2260</v>
      </c>
      <c r="Q87" s="23">
        <v>2260</v>
      </c>
      <c r="R87" s="23">
        <f>6258.2+1367.1+791.9</f>
        <v>8417.1999999999989</v>
      </c>
      <c r="S87" s="23">
        <v>7625.7</v>
      </c>
      <c r="T87" s="23">
        <f>544.1+3559.3</f>
        <v>4103.4000000000005</v>
      </c>
      <c r="U87" s="23">
        <v>4437.3</v>
      </c>
      <c r="V87" s="23">
        <v>717.5</v>
      </c>
      <c r="W87" s="23">
        <v>791.3</v>
      </c>
      <c r="X87" s="23"/>
      <c r="Y87" s="23"/>
      <c r="Z87" s="23">
        <f>90.2+334</f>
        <v>424.2</v>
      </c>
      <c r="AA87" s="23"/>
      <c r="AB87" s="23"/>
      <c r="AC87" s="23"/>
      <c r="AD87" s="23">
        <f>6802-791.9-3559.3-717.5-1686.3</f>
        <v>47.000000000000227</v>
      </c>
      <c r="AE87" s="23"/>
      <c r="AF87" s="112"/>
      <c r="AG87" s="15"/>
      <c r="AH87" s="15"/>
      <c r="AI87" s="15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</row>
    <row r="88" spans="1:62" ht="37.5" x14ac:dyDescent="0.3">
      <c r="A88" s="22" t="s">
        <v>44</v>
      </c>
      <c r="B88" s="28">
        <f>H88+J88+L88+N88+P88+R88+T88+V88+X88+Z88+AB88+AD88</f>
        <v>2648.8999999999992</v>
      </c>
      <c r="C88" s="28">
        <f t="shared" si="85"/>
        <v>2647.9999999999995</v>
      </c>
      <c r="D88" s="28">
        <f>E88</f>
        <v>2118.5</v>
      </c>
      <c r="E88" s="28">
        <f t="shared" ref="E88:E90" si="87">I88+K88+M88+O88+Q88+S88+U88+W88+Y88+AA88+AC88+AE88</f>
        <v>2118.5</v>
      </c>
      <c r="F88" s="24">
        <f t="shared" si="86"/>
        <v>79.976594057910859</v>
      </c>
      <c r="G88" s="24">
        <f t="shared" ref="G88:G90" si="88">E88/C88*100</f>
        <v>80.003776435045324</v>
      </c>
      <c r="H88" s="23"/>
      <c r="I88" s="23"/>
      <c r="J88" s="23"/>
      <c r="K88" s="23"/>
      <c r="L88" s="23"/>
      <c r="M88" s="23"/>
      <c r="N88" s="23">
        <v>334</v>
      </c>
      <c r="O88" s="23">
        <v>334</v>
      </c>
      <c r="P88" s="23"/>
      <c r="Q88" s="23"/>
      <c r="R88" s="23">
        <v>784.1</v>
      </c>
      <c r="S88" s="23">
        <v>784.1</v>
      </c>
      <c r="T88" s="23">
        <f>477.9+0.4</f>
        <v>478.29999999999995</v>
      </c>
      <c r="U88" s="23">
        <v>478.3</v>
      </c>
      <c r="V88" s="23">
        <v>717.5</v>
      </c>
      <c r="W88" s="23">
        <f>717.5-195.4</f>
        <v>522.1</v>
      </c>
      <c r="X88" s="23"/>
      <c r="Y88" s="23"/>
      <c r="Z88" s="23">
        <v>334.1</v>
      </c>
      <c r="AA88" s="23"/>
      <c r="AB88" s="23"/>
      <c r="AC88" s="23"/>
      <c r="AD88" s="23">
        <f>3685-784.1-17.8-477.9-717.5-0.4-1686.4</f>
        <v>0.8999999999996362</v>
      </c>
      <c r="AE88" s="23"/>
      <c r="AF88" s="112"/>
      <c r="AG88" s="15"/>
      <c r="AH88" s="15"/>
      <c r="AI88" s="15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</row>
    <row r="89" spans="1:62" ht="18.75" x14ac:dyDescent="0.3">
      <c r="A89" s="22" t="s">
        <v>30</v>
      </c>
      <c r="B89" s="28">
        <f t="shared" si="84"/>
        <v>0</v>
      </c>
      <c r="C89" s="28">
        <f t="shared" si="85"/>
        <v>0</v>
      </c>
      <c r="D89" s="29"/>
      <c r="E89" s="28">
        <f t="shared" si="87"/>
        <v>0</v>
      </c>
      <c r="F89" s="24" t="e">
        <f t="shared" si="86"/>
        <v>#DIV/0!</v>
      </c>
      <c r="G89" s="24" t="e">
        <f t="shared" si="88"/>
        <v>#DIV/0!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12"/>
      <c r="AG89" s="15"/>
      <c r="AH89" s="15"/>
      <c r="AI89" s="15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</row>
    <row r="90" spans="1:62" ht="18.75" x14ac:dyDescent="0.3">
      <c r="A90" s="22" t="s">
        <v>31</v>
      </c>
      <c r="B90" s="28">
        <f t="shared" si="84"/>
        <v>5850</v>
      </c>
      <c r="C90" s="28">
        <f t="shared" si="85"/>
        <v>5850</v>
      </c>
      <c r="D90" s="29">
        <f>E90</f>
        <v>5850</v>
      </c>
      <c r="E90" s="28">
        <f t="shared" si="87"/>
        <v>5850</v>
      </c>
      <c r="F90" s="24">
        <f t="shared" si="86"/>
        <v>100</v>
      </c>
      <c r="G90" s="24">
        <f t="shared" si="88"/>
        <v>100</v>
      </c>
      <c r="H90" s="13"/>
      <c r="I90" s="13"/>
      <c r="J90" s="13"/>
      <c r="K90" s="13"/>
      <c r="L90" s="13"/>
      <c r="M90" s="13"/>
      <c r="N90" s="13">
        <v>4000</v>
      </c>
      <c r="O90" s="13">
        <v>4000</v>
      </c>
      <c r="P90" s="13"/>
      <c r="Q90" s="13"/>
      <c r="R90" s="13">
        <v>1850</v>
      </c>
      <c r="S90" s="13">
        <v>1850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12"/>
      <c r="AG90" s="15"/>
      <c r="AH90" s="15"/>
      <c r="AI90" s="15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</row>
    <row r="91" spans="1:62" ht="57" customHeight="1" x14ac:dyDescent="0.25">
      <c r="A91" s="105" t="s">
        <v>46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7"/>
      <c r="AF91" s="100"/>
      <c r="AG91" s="15"/>
      <c r="AH91" s="15"/>
      <c r="AI91" s="15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</row>
    <row r="92" spans="1:62" ht="18.75" x14ac:dyDescent="0.3">
      <c r="A92" s="19" t="s">
        <v>27</v>
      </c>
      <c r="B92" s="27">
        <f>H92+J92+L92+N92+P92+R92+T92+V92+X92+Z92+AB92+AD92</f>
        <v>1006.1</v>
      </c>
      <c r="C92" s="13">
        <f t="shared" ref="C92:E92" si="89">C93+C94+C96+C97</f>
        <v>902.59999999999991</v>
      </c>
      <c r="D92" s="13">
        <f t="shared" si="89"/>
        <v>825.95</v>
      </c>
      <c r="E92" s="13">
        <f t="shared" si="89"/>
        <v>825.95</v>
      </c>
      <c r="F92" s="21">
        <f>E92/B92*100</f>
        <v>82.09422522612067</v>
      </c>
      <c r="G92" s="21">
        <f>E92/C92*100</f>
        <v>91.507866164413926</v>
      </c>
      <c r="H92" s="13">
        <f>H93+H94+H96+H97</f>
        <v>0</v>
      </c>
      <c r="I92" s="13">
        <f t="shared" ref="I92:AE92" si="90">I93+I94+I96+I97</f>
        <v>0</v>
      </c>
      <c r="J92" s="13">
        <f t="shared" si="90"/>
        <v>4</v>
      </c>
      <c r="K92" s="13">
        <f t="shared" si="90"/>
        <v>4</v>
      </c>
      <c r="L92" s="13">
        <f t="shared" si="90"/>
        <v>0</v>
      </c>
      <c r="M92" s="13">
        <f t="shared" si="90"/>
        <v>0</v>
      </c>
      <c r="N92" s="13">
        <f t="shared" si="90"/>
        <v>0</v>
      </c>
      <c r="O92" s="13">
        <f t="shared" si="90"/>
        <v>0</v>
      </c>
      <c r="P92" s="13">
        <f t="shared" si="90"/>
        <v>55.400000000000006</v>
      </c>
      <c r="Q92" s="13">
        <f t="shared" si="90"/>
        <v>14.9</v>
      </c>
      <c r="R92" s="13">
        <f t="shared" si="90"/>
        <v>190.8</v>
      </c>
      <c r="S92" s="13">
        <f t="shared" si="90"/>
        <v>231.3</v>
      </c>
      <c r="T92" s="13">
        <f t="shared" si="90"/>
        <v>652.4</v>
      </c>
      <c r="U92" s="13">
        <f t="shared" si="90"/>
        <v>575.75</v>
      </c>
      <c r="V92" s="13">
        <f t="shared" si="90"/>
        <v>0</v>
      </c>
      <c r="W92" s="13">
        <f t="shared" si="90"/>
        <v>0</v>
      </c>
      <c r="X92" s="13">
        <f t="shared" si="90"/>
        <v>0</v>
      </c>
      <c r="Y92" s="13">
        <f t="shared" si="90"/>
        <v>0</v>
      </c>
      <c r="Z92" s="13">
        <f t="shared" si="90"/>
        <v>0</v>
      </c>
      <c r="AA92" s="13">
        <f t="shared" si="90"/>
        <v>0</v>
      </c>
      <c r="AB92" s="13">
        <f t="shared" si="90"/>
        <v>103.5</v>
      </c>
      <c r="AC92" s="13">
        <f t="shared" si="90"/>
        <v>0</v>
      </c>
      <c r="AD92" s="13">
        <f t="shared" si="90"/>
        <v>0</v>
      </c>
      <c r="AE92" s="13">
        <f t="shared" si="90"/>
        <v>0</v>
      </c>
      <c r="AF92" s="127"/>
      <c r="AG92" s="15"/>
      <c r="AH92" s="15"/>
      <c r="AI92" s="15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</row>
    <row r="93" spans="1:62" ht="18.75" x14ac:dyDescent="0.3">
      <c r="A93" s="22" t="s">
        <v>28</v>
      </c>
      <c r="B93" s="28">
        <f>H93+J93+L93+N93+P93+R93+T93+V93+X93+Z93+AB93+AD93</f>
        <v>441.2</v>
      </c>
      <c r="C93" s="88">
        <f>H93+J93+N93+P93+R93+T93</f>
        <v>441.2</v>
      </c>
      <c r="D93" s="29">
        <f>E93</f>
        <v>428.65</v>
      </c>
      <c r="E93" s="28">
        <f>I93+K93+M93+O93+Q93+S93+U93+W93+Y93+AA93+AC93+AE93</f>
        <v>428.65</v>
      </c>
      <c r="F93" s="24">
        <f>E93/B93*100</f>
        <v>97.155485040797814</v>
      </c>
      <c r="G93" s="24">
        <f>E93/C93*100</f>
        <v>97.155485040797814</v>
      </c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>
        <f>286.9+100.7+53.6</f>
        <v>441.2</v>
      </c>
      <c r="U93" s="23">
        <v>428.65</v>
      </c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128"/>
      <c r="AG93" s="15"/>
      <c r="AH93" s="15"/>
      <c r="AI93" s="15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</row>
    <row r="94" spans="1:62" ht="18.75" x14ac:dyDescent="0.3">
      <c r="A94" s="22" t="s">
        <v>29</v>
      </c>
      <c r="B94" s="28">
        <f>H94+J94+L94+N94+P94+R94+T94+V94+X94+Z94+AB94+AD94</f>
        <v>461.4</v>
      </c>
      <c r="C94" s="88">
        <f>H94+J94+N94+P94+R94+T94</f>
        <v>461.4</v>
      </c>
      <c r="D94" s="29">
        <f>E94</f>
        <v>397.3</v>
      </c>
      <c r="E94" s="28">
        <f t="shared" ref="E94:E97" si="91">I94+K94+M94+O94+Q94+S94+U94+W94+Y94+AA94+AC94+AE94</f>
        <v>397.3</v>
      </c>
      <c r="F94" s="24">
        <f t="shared" ref="F94:F97" si="92">E94/B94*100</f>
        <v>86.107498916341569</v>
      </c>
      <c r="G94" s="24">
        <f>E94/C94*100</f>
        <v>86.107498916341569</v>
      </c>
      <c r="H94" s="23"/>
      <c r="I94" s="23"/>
      <c r="J94" s="23">
        <v>4</v>
      </c>
      <c r="K94" s="23">
        <v>4</v>
      </c>
      <c r="L94" s="23"/>
      <c r="M94" s="23"/>
      <c r="N94" s="23"/>
      <c r="O94" s="23"/>
      <c r="P94" s="23">
        <f>47.7+7.7</f>
        <v>55.400000000000006</v>
      </c>
      <c r="Q94" s="23">
        <v>14.9</v>
      </c>
      <c r="R94" s="23">
        <f>75.6+115.2</f>
        <v>190.8</v>
      </c>
      <c r="S94" s="23">
        <f>244-12.7</f>
        <v>231.3</v>
      </c>
      <c r="T94" s="23">
        <f>147.1+64.1</f>
        <v>211.2</v>
      </c>
      <c r="U94" s="23">
        <v>147.1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128"/>
      <c r="AG94" s="15"/>
      <c r="AH94" s="15"/>
      <c r="AI94" s="15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</row>
    <row r="95" spans="1:62" ht="37.5" x14ac:dyDescent="0.3">
      <c r="A95" s="22" t="s">
        <v>44</v>
      </c>
      <c r="B95" s="28">
        <f>H95+J95+L95+N95+P95+R95+T95+V95+X95+Z95+AB95+AD95</f>
        <v>147.10000000000002</v>
      </c>
      <c r="C95" s="88">
        <f>H95+J95+N95+P95+R95+T95</f>
        <v>147.10000000000002</v>
      </c>
      <c r="D95" s="29">
        <f>E95</f>
        <v>147.1</v>
      </c>
      <c r="E95" s="28">
        <f t="shared" si="91"/>
        <v>147.1</v>
      </c>
      <c r="F95" s="24">
        <f t="shared" si="92"/>
        <v>99.999999999999972</v>
      </c>
      <c r="G95" s="24">
        <f t="shared" ref="G95:G97" si="93">E95/C95*100</f>
        <v>99.999999999999972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>
        <f>129.3+17.8</f>
        <v>147.10000000000002</v>
      </c>
      <c r="U95" s="23">
        <v>147.1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128"/>
      <c r="AG95" s="15"/>
      <c r="AH95" s="15"/>
      <c r="AI95" s="15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</row>
    <row r="96" spans="1:62" ht="18.75" x14ac:dyDescent="0.3">
      <c r="A96" s="22" t="s">
        <v>30</v>
      </c>
      <c r="B96" s="28">
        <f t="shared" ref="B96:B97" si="94">H96+J96+L96+N96+P96+R96+T96+V96+X96+Z96+AB96+AD96</f>
        <v>0</v>
      </c>
      <c r="C96" s="28">
        <f t="shared" ref="C96:C97" si="95">H96</f>
        <v>0</v>
      </c>
      <c r="D96" s="29"/>
      <c r="E96" s="28">
        <f t="shared" si="91"/>
        <v>0</v>
      </c>
      <c r="F96" s="24" t="e">
        <f t="shared" si="92"/>
        <v>#DIV/0!</v>
      </c>
      <c r="G96" s="24" t="e">
        <f t="shared" si="93"/>
        <v>#DIV/0!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28"/>
      <c r="AG96" s="15"/>
      <c r="AH96" s="15"/>
      <c r="AI96" s="15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</row>
    <row r="97" spans="1:62" ht="18.75" x14ac:dyDescent="0.3">
      <c r="A97" s="22" t="s">
        <v>31</v>
      </c>
      <c r="B97" s="28">
        <f t="shared" si="94"/>
        <v>103.5</v>
      </c>
      <c r="C97" s="28">
        <f t="shared" si="95"/>
        <v>0</v>
      </c>
      <c r="D97" s="29"/>
      <c r="E97" s="28">
        <f t="shared" si="91"/>
        <v>0</v>
      </c>
      <c r="F97" s="24">
        <f t="shared" si="92"/>
        <v>0</v>
      </c>
      <c r="G97" s="24" t="e">
        <f t="shared" si="93"/>
        <v>#DIV/0!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>
        <v>103.5</v>
      </c>
      <c r="AC97" s="13"/>
      <c r="AD97" s="13"/>
      <c r="AE97" s="13"/>
      <c r="AF97" s="129"/>
      <c r="AG97" s="15"/>
      <c r="AH97" s="15"/>
      <c r="AI97" s="15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</row>
    <row r="98" spans="1:62" ht="18.75" x14ac:dyDescent="0.25">
      <c r="A98" s="105" t="s">
        <v>47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7"/>
      <c r="AF98" s="100"/>
      <c r="AG98" s="15"/>
      <c r="AH98" s="15"/>
      <c r="AI98" s="15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</row>
    <row r="99" spans="1:62" ht="18.75" x14ac:dyDescent="0.3">
      <c r="A99" s="19" t="s">
        <v>27</v>
      </c>
      <c r="B99" s="27">
        <f>H99+J99+L99+N99+P99+R99+T99+V99+X99+Z99+AB99+AD99</f>
        <v>1811.1000000000001</v>
      </c>
      <c r="C99" s="20">
        <f>SUM(C100:C103)</f>
        <v>1811.1000000000001</v>
      </c>
      <c r="D99" s="20">
        <f t="shared" ref="D99:E99" si="96">SUM(D100:D103)</f>
        <v>1665.04</v>
      </c>
      <c r="E99" s="20">
        <f t="shared" si="96"/>
        <v>1665.04</v>
      </c>
      <c r="F99" s="21">
        <f>E99/B99*100</f>
        <v>91.93528794655181</v>
      </c>
      <c r="G99" s="21">
        <f>E99/C99*100</f>
        <v>91.93528794655181</v>
      </c>
      <c r="H99" s="13">
        <f t="shared" ref="H99:K99" si="97">H100+H101+H102+H103</f>
        <v>0</v>
      </c>
      <c r="I99" s="13">
        <f t="shared" si="97"/>
        <v>0</v>
      </c>
      <c r="J99" s="13">
        <f t="shared" si="97"/>
        <v>8.5</v>
      </c>
      <c r="K99" s="13">
        <f t="shared" si="97"/>
        <v>8.5</v>
      </c>
      <c r="L99" s="13">
        <f>L100+L101+L102+L103</f>
        <v>0</v>
      </c>
      <c r="M99" s="13">
        <f t="shared" ref="M99:AE99" si="98">M100+M101+M102+M103</f>
        <v>0</v>
      </c>
      <c r="N99" s="13">
        <f t="shared" si="98"/>
        <v>5.6</v>
      </c>
      <c r="O99" s="13">
        <f t="shared" si="98"/>
        <v>0</v>
      </c>
      <c r="P99" s="13">
        <f t="shared" si="98"/>
        <v>709.6</v>
      </c>
      <c r="Q99" s="13">
        <f t="shared" si="98"/>
        <v>0</v>
      </c>
      <c r="R99" s="13">
        <f t="shared" si="98"/>
        <v>476.6</v>
      </c>
      <c r="S99" s="13">
        <f t="shared" si="98"/>
        <v>528.6</v>
      </c>
      <c r="T99" s="13">
        <f t="shared" si="98"/>
        <v>315.59999999999997</v>
      </c>
      <c r="U99" s="13">
        <f t="shared" si="98"/>
        <v>249</v>
      </c>
      <c r="V99" s="13">
        <f t="shared" si="98"/>
        <v>295.2</v>
      </c>
      <c r="W99" s="13">
        <f t="shared" si="98"/>
        <v>339.79999999999995</v>
      </c>
      <c r="X99" s="13">
        <f t="shared" si="98"/>
        <v>0</v>
      </c>
      <c r="Y99" s="13">
        <f t="shared" si="98"/>
        <v>539.14</v>
      </c>
      <c r="Z99" s="13">
        <f t="shared" si="98"/>
        <v>0</v>
      </c>
      <c r="AA99" s="13">
        <f t="shared" si="98"/>
        <v>0</v>
      </c>
      <c r="AB99" s="13">
        <f t="shared" si="98"/>
        <v>0</v>
      </c>
      <c r="AC99" s="13">
        <f t="shared" si="98"/>
        <v>0</v>
      </c>
      <c r="AD99" s="13">
        <f t="shared" si="98"/>
        <v>0</v>
      </c>
      <c r="AE99" s="13">
        <f t="shared" si="98"/>
        <v>0</v>
      </c>
      <c r="AF99" s="100"/>
      <c r="AG99" s="15"/>
      <c r="AH99" s="15"/>
      <c r="AI99" s="15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</row>
    <row r="100" spans="1:62" ht="18.75" x14ac:dyDescent="0.3">
      <c r="A100" s="22" t="s">
        <v>28</v>
      </c>
      <c r="B100" s="37">
        <f>H100+J100+L100+N100+P100+R100+T100+V100+X100+Z100+AB100+AD100</f>
        <v>0</v>
      </c>
      <c r="C100" s="37">
        <f>H100</f>
        <v>0</v>
      </c>
      <c r="D100" s="37"/>
      <c r="E100" s="28">
        <f>I100+K100+M100+O100+Q100+S100+U100+W100+Y100+AA100+AC100+AE100</f>
        <v>0</v>
      </c>
      <c r="F100" s="24" t="e">
        <f>E100/B100*100</f>
        <v>#DIV/0!</v>
      </c>
      <c r="G100" s="24" t="e">
        <f>E100/C100*100</f>
        <v>#DIV/0!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100"/>
      <c r="AG100" s="15"/>
      <c r="AH100" s="15"/>
      <c r="AI100" s="15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</row>
    <row r="101" spans="1:62" ht="18.75" x14ac:dyDescent="0.3">
      <c r="A101" s="22" t="s">
        <v>29</v>
      </c>
      <c r="B101" s="28">
        <f>H101+J101+L101+N101+P101+R101+T101+V101+X101+Z101+AB101+AD101</f>
        <v>1811.1000000000001</v>
      </c>
      <c r="C101" s="88">
        <f>H101+J101+N101+P101+R101+T101+V101</f>
        <v>1811.1000000000001</v>
      </c>
      <c r="D101" s="29">
        <f>E101</f>
        <v>1665.04</v>
      </c>
      <c r="E101" s="28">
        <f>I101+K101+M101+O101+Q101+S101+U101+W101+Y101+AA101+AC101+AE101</f>
        <v>1665.04</v>
      </c>
      <c r="F101" s="24">
        <f>E101/B101*100</f>
        <v>91.93528794655181</v>
      </c>
      <c r="G101" s="24">
        <f>E101/C101*100</f>
        <v>91.93528794655181</v>
      </c>
      <c r="H101" s="23"/>
      <c r="I101" s="23"/>
      <c r="J101" s="23">
        <v>8.5</v>
      </c>
      <c r="K101" s="23">
        <v>8.5</v>
      </c>
      <c r="L101" s="23"/>
      <c r="M101" s="23"/>
      <c r="N101" s="23">
        <v>5.6</v>
      </c>
      <c r="O101" s="23"/>
      <c r="P101" s="23">
        <f>242.8+466.8</f>
        <v>709.6</v>
      </c>
      <c r="Q101" s="23"/>
      <c r="R101" s="23">
        <f>382.8+93.8</f>
        <v>476.6</v>
      </c>
      <c r="S101" s="23">
        <f>476.1+52.5</f>
        <v>528.6</v>
      </c>
      <c r="T101" s="23">
        <f>251.7+63.9</f>
        <v>315.59999999999997</v>
      </c>
      <c r="U101" s="23">
        <f>66.2+182.8</f>
        <v>249</v>
      </c>
      <c r="V101" s="23">
        <f>63.9+230.8+0.5</f>
        <v>295.2</v>
      </c>
      <c r="W101" s="23">
        <f>290.9+48.9</f>
        <v>339.79999999999995</v>
      </c>
      <c r="X101" s="23"/>
      <c r="Y101" s="23">
        <f>466.8+72.34</f>
        <v>539.14</v>
      </c>
      <c r="Z101" s="23"/>
      <c r="AA101" s="23"/>
      <c r="AB101" s="23"/>
      <c r="AC101" s="23"/>
      <c r="AD101" s="23"/>
      <c r="AE101" s="23"/>
      <c r="AF101" s="100"/>
      <c r="AG101" s="15"/>
      <c r="AH101" s="15"/>
      <c r="AI101" s="15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</row>
    <row r="102" spans="1:62" ht="18.75" x14ac:dyDescent="0.3">
      <c r="A102" s="22" t="s">
        <v>30</v>
      </c>
      <c r="B102" s="37">
        <f t="shared" ref="B102:B103" si="99">H102+J102+L102+N102+P102+R102+T102+V102+X102+Z102+AB102+AD102</f>
        <v>0</v>
      </c>
      <c r="C102" s="37">
        <f t="shared" ref="C102:C103" si="100">H102</f>
        <v>0</v>
      </c>
      <c r="D102" s="38"/>
      <c r="E102" s="28">
        <f t="shared" ref="E102:E103" si="101">I102+K102+M102+O102+Q102+S102+U102+W102+Y102+AA102+AC102+AE102</f>
        <v>0</v>
      </c>
      <c r="F102" s="24" t="e">
        <f t="shared" ref="F102:F103" si="102">E102/B102*100</f>
        <v>#DIV/0!</v>
      </c>
      <c r="G102" s="24" t="e">
        <f t="shared" ref="G102:G103" si="103">E102/C102*100</f>
        <v>#DIV/0!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00"/>
      <c r="AG102" s="15"/>
      <c r="AH102" s="15"/>
      <c r="AI102" s="15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</row>
    <row r="103" spans="1:62" ht="18.75" x14ac:dyDescent="0.3">
      <c r="A103" s="22" t="s">
        <v>31</v>
      </c>
      <c r="B103" s="37">
        <f t="shared" si="99"/>
        <v>0</v>
      </c>
      <c r="C103" s="37">
        <f t="shared" si="100"/>
        <v>0</v>
      </c>
      <c r="D103" s="38"/>
      <c r="E103" s="28">
        <f t="shared" si="101"/>
        <v>0</v>
      </c>
      <c r="F103" s="24" t="e">
        <f t="shared" si="102"/>
        <v>#DIV/0!</v>
      </c>
      <c r="G103" s="24" t="e">
        <f t="shared" si="103"/>
        <v>#DIV/0!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00"/>
      <c r="AG103" s="15"/>
      <c r="AH103" s="15"/>
      <c r="AI103" s="15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</row>
    <row r="104" spans="1:62" ht="20.25" x14ac:dyDescent="0.25">
      <c r="A104" s="108" t="s">
        <v>48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10"/>
      <c r="AF104" s="100"/>
      <c r="AG104" s="15"/>
      <c r="AH104" s="15"/>
      <c r="AI104" s="15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</row>
    <row r="105" spans="1:62" ht="18.75" x14ac:dyDescent="0.25">
      <c r="A105" s="103" t="s">
        <v>27</v>
      </c>
      <c r="B105" s="39">
        <f>H105+J105+L105+N105+P105+R105+T105+V105+X105+Z105+AB105+AD105</f>
        <v>59264.3</v>
      </c>
      <c r="C105" s="40">
        <f>SUM(C106:C109)</f>
        <v>6231.9</v>
      </c>
      <c r="D105" s="40">
        <f t="shared" ref="D105:E105" si="104">SUM(D106:D109)</f>
        <v>45658.400000000001</v>
      </c>
      <c r="E105" s="40">
        <f t="shared" si="104"/>
        <v>45658.400000000001</v>
      </c>
      <c r="F105" s="41">
        <f>E105/B105*100</f>
        <v>77.041996615162915</v>
      </c>
      <c r="G105" s="41">
        <f>E105/C105*100</f>
        <v>732.65617227490816</v>
      </c>
      <c r="H105" s="42">
        <f>SUM(H106:H109)</f>
        <v>6231.9</v>
      </c>
      <c r="I105" s="42">
        <f t="shared" ref="I105:AE105" si="105">SUM(I106:I109)</f>
        <v>6231.9</v>
      </c>
      <c r="J105" s="42">
        <f t="shared" si="105"/>
        <v>6240.4</v>
      </c>
      <c r="K105" s="42">
        <f t="shared" si="105"/>
        <v>6240.4</v>
      </c>
      <c r="L105" s="42">
        <f t="shared" si="105"/>
        <v>6233.9</v>
      </c>
      <c r="M105" s="42">
        <f t="shared" si="105"/>
        <v>6233.9</v>
      </c>
      <c r="N105" s="42">
        <f t="shared" si="105"/>
        <v>6232.9</v>
      </c>
      <c r="O105" s="42">
        <f t="shared" si="105"/>
        <v>6232.9</v>
      </c>
      <c r="P105" s="42">
        <f t="shared" si="105"/>
        <v>6231.9</v>
      </c>
      <c r="Q105" s="42">
        <f t="shared" si="105"/>
        <v>6231.9</v>
      </c>
      <c r="R105" s="42">
        <f t="shared" si="105"/>
        <v>600.1</v>
      </c>
      <c r="S105" s="42">
        <f t="shared" si="105"/>
        <v>600.1</v>
      </c>
      <c r="T105" s="42">
        <f t="shared" si="105"/>
        <v>0</v>
      </c>
      <c r="U105" s="42">
        <f t="shared" si="105"/>
        <v>0</v>
      </c>
      <c r="V105" s="42">
        <f t="shared" si="105"/>
        <v>2937</v>
      </c>
      <c r="W105" s="42">
        <f t="shared" si="105"/>
        <v>450.5</v>
      </c>
      <c r="X105" s="42">
        <f t="shared" si="105"/>
        <v>6231.9</v>
      </c>
      <c r="Y105" s="42">
        <f t="shared" si="105"/>
        <v>3744.7999999999997</v>
      </c>
      <c r="Z105" s="42">
        <f t="shared" si="105"/>
        <v>6460.4</v>
      </c>
      <c r="AA105" s="42">
        <f t="shared" si="105"/>
        <v>9692</v>
      </c>
      <c r="AB105" s="42">
        <f t="shared" si="105"/>
        <v>6232</v>
      </c>
      <c r="AC105" s="42">
        <f t="shared" si="105"/>
        <v>0</v>
      </c>
      <c r="AD105" s="42">
        <f t="shared" si="105"/>
        <v>5631.9</v>
      </c>
      <c r="AE105" s="42">
        <f t="shared" si="105"/>
        <v>0</v>
      </c>
      <c r="AF105" s="43"/>
      <c r="AG105" s="15"/>
      <c r="AH105" s="15"/>
      <c r="AI105" s="15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</row>
    <row r="106" spans="1:62" ht="18.75" x14ac:dyDescent="0.3">
      <c r="A106" s="22" t="s">
        <v>28</v>
      </c>
      <c r="B106" s="28">
        <f>H106+J106+L106+N106+P106+R106+T106+V106+X106+Z106+AB106+AD106</f>
        <v>1600.8</v>
      </c>
      <c r="C106" s="29">
        <f>H106</f>
        <v>0</v>
      </c>
      <c r="D106" s="29">
        <f>D112+D118+D124</f>
        <v>746.8</v>
      </c>
      <c r="E106" s="28">
        <f>I106+K106+M106+O106+Q106+S106+U106+W106+Y106+AA106+AC106+AE106</f>
        <v>746.8</v>
      </c>
      <c r="F106" s="24">
        <f>E106/B106*100</f>
        <v>46.651674162918539</v>
      </c>
      <c r="G106" s="24" t="e">
        <f>E106/C106*100</f>
        <v>#DIV/0!</v>
      </c>
      <c r="H106" s="23">
        <f>H112+H118+H124</f>
        <v>0</v>
      </c>
      <c r="I106" s="23">
        <f t="shared" ref="I106:AE109" si="106">I112+I118+I124</f>
        <v>0</v>
      </c>
      <c r="J106" s="23">
        <f t="shared" si="106"/>
        <v>0</v>
      </c>
      <c r="K106" s="23">
        <f t="shared" si="106"/>
        <v>0</v>
      </c>
      <c r="L106" s="23">
        <f t="shared" si="106"/>
        <v>0</v>
      </c>
      <c r="M106" s="23">
        <f t="shared" si="106"/>
        <v>0</v>
      </c>
      <c r="N106" s="23">
        <f t="shared" si="106"/>
        <v>0</v>
      </c>
      <c r="O106" s="23">
        <f t="shared" si="106"/>
        <v>0</v>
      </c>
      <c r="P106" s="23">
        <f t="shared" si="106"/>
        <v>0</v>
      </c>
      <c r="Q106" s="23">
        <f t="shared" si="106"/>
        <v>0</v>
      </c>
      <c r="R106" s="23">
        <f t="shared" si="106"/>
        <v>0</v>
      </c>
      <c r="S106" s="23">
        <f t="shared" si="106"/>
        <v>0</v>
      </c>
      <c r="T106" s="23">
        <f t="shared" si="106"/>
        <v>0</v>
      </c>
      <c r="U106" s="23">
        <f t="shared" si="106"/>
        <v>0</v>
      </c>
      <c r="V106" s="23">
        <f t="shared" si="106"/>
        <v>1600.8</v>
      </c>
      <c r="W106" s="23">
        <f t="shared" si="106"/>
        <v>254.2</v>
      </c>
      <c r="X106" s="23">
        <f t="shared" si="106"/>
        <v>0</v>
      </c>
      <c r="Y106" s="23">
        <f t="shared" si="106"/>
        <v>237.9</v>
      </c>
      <c r="Z106" s="23">
        <f t="shared" si="106"/>
        <v>0</v>
      </c>
      <c r="AA106" s="23">
        <f t="shared" si="106"/>
        <v>254.7</v>
      </c>
      <c r="AB106" s="23">
        <f t="shared" si="106"/>
        <v>0</v>
      </c>
      <c r="AC106" s="23">
        <f t="shared" si="106"/>
        <v>0</v>
      </c>
      <c r="AD106" s="23">
        <f t="shared" si="106"/>
        <v>0</v>
      </c>
      <c r="AE106" s="23">
        <f t="shared" si="106"/>
        <v>0</v>
      </c>
      <c r="AF106" s="43"/>
      <c r="AG106" s="15"/>
      <c r="AH106" s="15"/>
      <c r="AI106" s="15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</row>
    <row r="107" spans="1:62" ht="18.75" x14ac:dyDescent="0.3">
      <c r="A107" s="22" t="s">
        <v>29</v>
      </c>
      <c r="B107" s="28">
        <f>B113+B119+B125</f>
        <v>56640.100000000006</v>
      </c>
      <c r="C107" s="29">
        <f t="shared" ref="C107:C109" si="107">H107</f>
        <v>6231.9</v>
      </c>
      <c r="D107" s="29">
        <f>D113+D119+D125</f>
        <v>44434.1</v>
      </c>
      <c r="E107" s="28">
        <f>I107+K107+M107+O107+Q107+S107+U107+W107+Y107+AA107+AC107+AE107</f>
        <v>44434.1</v>
      </c>
      <c r="F107" s="24">
        <f>E107/B107*100</f>
        <v>78.449896804560709</v>
      </c>
      <c r="G107" s="24">
        <f>E107/C107*100</f>
        <v>713.01047834528799</v>
      </c>
      <c r="H107" s="23">
        <f>H113+H119+H125</f>
        <v>6231.9</v>
      </c>
      <c r="I107" s="23">
        <f t="shared" si="106"/>
        <v>6231.9</v>
      </c>
      <c r="J107" s="23">
        <f t="shared" si="106"/>
        <v>6240.4</v>
      </c>
      <c r="K107" s="23">
        <f t="shared" si="106"/>
        <v>6240.4</v>
      </c>
      <c r="L107" s="23">
        <f t="shared" si="106"/>
        <v>6233.9</v>
      </c>
      <c r="M107" s="23">
        <f t="shared" si="106"/>
        <v>6233.9</v>
      </c>
      <c r="N107" s="23">
        <f t="shared" si="106"/>
        <v>6232.9</v>
      </c>
      <c r="O107" s="23">
        <f t="shared" si="106"/>
        <v>6232.9</v>
      </c>
      <c r="P107" s="23">
        <f t="shared" si="106"/>
        <v>6231.9</v>
      </c>
      <c r="Q107" s="23">
        <f t="shared" si="106"/>
        <v>6231.9</v>
      </c>
      <c r="R107" s="23">
        <f t="shared" si="106"/>
        <v>600.1</v>
      </c>
      <c r="S107" s="23">
        <f t="shared" si="106"/>
        <v>600.1</v>
      </c>
      <c r="T107" s="23">
        <f t="shared" si="106"/>
        <v>0</v>
      </c>
      <c r="U107" s="23">
        <f t="shared" si="106"/>
        <v>0</v>
      </c>
      <c r="V107" s="23">
        <f t="shared" si="106"/>
        <v>312.8</v>
      </c>
      <c r="W107" s="23">
        <f t="shared" si="106"/>
        <v>33.799999999999997</v>
      </c>
      <c r="X107" s="23">
        <f t="shared" si="106"/>
        <v>6231.9</v>
      </c>
      <c r="Y107" s="23">
        <f t="shared" si="106"/>
        <v>3354.7</v>
      </c>
      <c r="Z107" s="23">
        <f t="shared" si="106"/>
        <v>6460.4</v>
      </c>
      <c r="AA107" s="23">
        <f t="shared" si="106"/>
        <v>9274.5</v>
      </c>
      <c r="AB107" s="23">
        <f t="shared" si="106"/>
        <v>6232</v>
      </c>
      <c r="AC107" s="23">
        <f t="shared" si="106"/>
        <v>0</v>
      </c>
      <c r="AD107" s="23">
        <f t="shared" si="106"/>
        <v>5631.9</v>
      </c>
      <c r="AE107" s="23">
        <f t="shared" si="106"/>
        <v>0</v>
      </c>
      <c r="AF107" s="43"/>
      <c r="AG107" s="15"/>
      <c r="AH107" s="15"/>
      <c r="AI107" s="15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</row>
    <row r="108" spans="1:62" ht="18.75" x14ac:dyDescent="0.3">
      <c r="A108" s="22" t="s">
        <v>30</v>
      </c>
      <c r="B108" s="28">
        <f t="shared" ref="B108:B109" si="108">H108+J108+L108+N108+P108+R108+T108+V108+X108+Z108+AB108+AD108</f>
        <v>1023.4</v>
      </c>
      <c r="C108" s="29">
        <f t="shared" si="107"/>
        <v>0</v>
      </c>
      <c r="D108" s="29">
        <f t="shared" ref="D108:D109" si="109">D114+D120+D126</f>
        <v>477.5</v>
      </c>
      <c r="E108" s="28">
        <f t="shared" ref="E108:E109" si="110">I108+K108+M108+O108+Q108+S108+U108+W108+Y108+AA108+AC108+AE108</f>
        <v>477.5</v>
      </c>
      <c r="F108" s="24">
        <f t="shared" ref="F108:F109" si="111">E108/B108*100</f>
        <v>46.658198162986125</v>
      </c>
      <c r="G108" s="24" t="e">
        <f t="shared" ref="G108:G109" si="112">E108/C108*100</f>
        <v>#DIV/0!</v>
      </c>
      <c r="H108" s="23">
        <f>H114+H120+H126</f>
        <v>0</v>
      </c>
      <c r="I108" s="23">
        <f t="shared" si="106"/>
        <v>0</v>
      </c>
      <c r="J108" s="23">
        <f t="shared" si="106"/>
        <v>0</v>
      </c>
      <c r="K108" s="23">
        <f t="shared" si="106"/>
        <v>0</v>
      </c>
      <c r="L108" s="23">
        <f t="shared" si="106"/>
        <v>0</v>
      </c>
      <c r="M108" s="23">
        <f t="shared" si="106"/>
        <v>0</v>
      </c>
      <c r="N108" s="23">
        <f t="shared" si="106"/>
        <v>0</v>
      </c>
      <c r="O108" s="23">
        <f t="shared" si="106"/>
        <v>0</v>
      </c>
      <c r="P108" s="23">
        <f t="shared" si="106"/>
        <v>0</v>
      </c>
      <c r="Q108" s="23">
        <f t="shared" si="106"/>
        <v>0</v>
      </c>
      <c r="R108" s="23">
        <f t="shared" si="106"/>
        <v>0</v>
      </c>
      <c r="S108" s="23">
        <f t="shared" si="106"/>
        <v>0</v>
      </c>
      <c r="T108" s="23">
        <f t="shared" si="106"/>
        <v>0</v>
      </c>
      <c r="U108" s="23">
        <f t="shared" si="106"/>
        <v>0</v>
      </c>
      <c r="V108" s="23">
        <f t="shared" si="106"/>
        <v>1023.4</v>
      </c>
      <c r="W108" s="23">
        <f t="shared" si="106"/>
        <v>162.5</v>
      </c>
      <c r="X108" s="23">
        <f t="shared" si="106"/>
        <v>0</v>
      </c>
      <c r="Y108" s="23">
        <f t="shared" si="106"/>
        <v>152.19999999999999</v>
      </c>
      <c r="Z108" s="23">
        <f t="shared" si="106"/>
        <v>0</v>
      </c>
      <c r="AA108" s="23">
        <f t="shared" si="106"/>
        <v>162.80000000000001</v>
      </c>
      <c r="AB108" s="23">
        <f t="shared" si="106"/>
        <v>0</v>
      </c>
      <c r="AC108" s="23">
        <f t="shared" si="106"/>
        <v>0</v>
      </c>
      <c r="AD108" s="23">
        <f t="shared" si="106"/>
        <v>0</v>
      </c>
      <c r="AE108" s="23">
        <f t="shared" si="106"/>
        <v>0</v>
      </c>
      <c r="AF108" s="43"/>
      <c r="AG108" s="15"/>
      <c r="AH108" s="15"/>
      <c r="AI108" s="15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</row>
    <row r="109" spans="1:62" ht="18.75" x14ac:dyDescent="0.3">
      <c r="A109" s="22" t="s">
        <v>31</v>
      </c>
      <c r="B109" s="28">
        <f t="shared" si="108"/>
        <v>0</v>
      </c>
      <c r="C109" s="29">
        <f t="shared" si="107"/>
        <v>0</v>
      </c>
      <c r="D109" s="29">
        <f t="shared" si="109"/>
        <v>0</v>
      </c>
      <c r="E109" s="28">
        <f t="shared" si="110"/>
        <v>0</v>
      </c>
      <c r="F109" s="24" t="e">
        <f t="shared" si="111"/>
        <v>#DIV/0!</v>
      </c>
      <c r="G109" s="24" t="e">
        <f t="shared" si="112"/>
        <v>#DIV/0!</v>
      </c>
      <c r="H109" s="23">
        <f>H115+H121+H127</f>
        <v>0</v>
      </c>
      <c r="I109" s="23">
        <f t="shared" si="106"/>
        <v>0</v>
      </c>
      <c r="J109" s="23">
        <f t="shared" si="106"/>
        <v>0</v>
      </c>
      <c r="K109" s="23">
        <f t="shared" si="106"/>
        <v>0</v>
      </c>
      <c r="L109" s="23">
        <f t="shared" si="106"/>
        <v>0</v>
      </c>
      <c r="M109" s="23">
        <f t="shared" si="106"/>
        <v>0</v>
      </c>
      <c r="N109" s="23">
        <f t="shared" si="106"/>
        <v>0</v>
      </c>
      <c r="O109" s="23">
        <f t="shared" si="106"/>
        <v>0</v>
      </c>
      <c r="P109" s="23">
        <f t="shared" si="106"/>
        <v>0</v>
      </c>
      <c r="Q109" s="23">
        <f t="shared" si="106"/>
        <v>0</v>
      </c>
      <c r="R109" s="23">
        <f t="shared" si="106"/>
        <v>0</v>
      </c>
      <c r="S109" s="23">
        <f t="shared" si="106"/>
        <v>0</v>
      </c>
      <c r="T109" s="23">
        <f t="shared" si="106"/>
        <v>0</v>
      </c>
      <c r="U109" s="23">
        <f t="shared" si="106"/>
        <v>0</v>
      </c>
      <c r="V109" s="23">
        <f t="shared" si="106"/>
        <v>0</v>
      </c>
      <c r="W109" s="23">
        <f t="shared" si="106"/>
        <v>0</v>
      </c>
      <c r="X109" s="23">
        <f t="shared" si="106"/>
        <v>0</v>
      </c>
      <c r="Y109" s="23">
        <f t="shared" si="106"/>
        <v>0</v>
      </c>
      <c r="Z109" s="23">
        <f t="shared" si="106"/>
        <v>0</v>
      </c>
      <c r="AA109" s="23">
        <f t="shared" si="106"/>
        <v>0</v>
      </c>
      <c r="AB109" s="23">
        <f t="shared" si="106"/>
        <v>0</v>
      </c>
      <c r="AC109" s="23">
        <f t="shared" si="106"/>
        <v>0</v>
      </c>
      <c r="AD109" s="23">
        <f t="shared" si="106"/>
        <v>0</v>
      </c>
      <c r="AE109" s="23">
        <f t="shared" si="106"/>
        <v>0</v>
      </c>
      <c r="AF109" s="43"/>
      <c r="AG109" s="15"/>
      <c r="AH109" s="15"/>
      <c r="AI109" s="15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</row>
    <row r="110" spans="1:62" ht="18.75" x14ac:dyDescent="0.25">
      <c r="A110" s="105" t="s">
        <v>49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7"/>
      <c r="AF110" s="111" t="s">
        <v>50</v>
      </c>
      <c r="AG110" s="15"/>
      <c r="AH110" s="15"/>
      <c r="AI110" s="15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</row>
    <row r="111" spans="1:62" ht="18.75" x14ac:dyDescent="0.3">
      <c r="A111" s="19" t="s">
        <v>27</v>
      </c>
      <c r="B111" s="27">
        <f>H111+J111+L111+N111+P111+R111+T111+V111+X111+Z111+AB111+AD111</f>
        <v>340</v>
      </c>
      <c r="C111" s="20">
        <f>C112+C113+C114+C115</f>
        <v>340</v>
      </c>
      <c r="D111" s="20">
        <f>D112+D113+D114+D115</f>
        <v>111.4</v>
      </c>
      <c r="E111" s="20">
        <f>E112+E113+E114+E115</f>
        <v>111.4</v>
      </c>
      <c r="F111" s="21">
        <f>E111/B111*100</f>
        <v>32.764705882352942</v>
      </c>
      <c r="G111" s="21">
        <f>E111/C111*100</f>
        <v>32.764705882352942</v>
      </c>
      <c r="H111" s="13">
        <f>SUM(H112:H115)</f>
        <v>0</v>
      </c>
      <c r="I111" s="13">
        <f t="shared" ref="I111:AE111" si="113">SUM(I112:I115)</f>
        <v>0</v>
      </c>
      <c r="J111" s="13">
        <f t="shared" si="113"/>
        <v>8.5</v>
      </c>
      <c r="K111" s="13">
        <f t="shared" si="113"/>
        <v>8.5</v>
      </c>
      <c r="L111" s="13">
        <f t="shared" si="113"/>
        <v>2</v>
      </c>
      <c r="M111" s="13">
        <f t="shared" si="113"/>
        <v>2</v>
      </c>
      <c r="N111" s="13">
        <f t="shared" si="113"/>
        <v>1</v>
      </c>
      <c r="O111" s="13">
        <f t="shared" si="113"/>
        <v>1</v>
      </c>
      <c r="P111" s="13">
        <f t="shared" si="113"/>
        <v>0</v>
      </c>
      <c r="Q111" s="13">
        <f t="shared" si="113"/>
        <v>0</v>
      </c>
      <c r="R111" s="13">
        <f t="shared" si="113"/>
        <v>0</v>
      </c>
      <c r="S111" s="13">
        <f t="shared" si="113"/>
        <v>0</v>
      </c>
      <c r="T111" s="13">
        <f t="shared" si="113"/>
        <v>0</v>
      </c>
      <c r="U111" s="13">
        <f t="shared" si="113"/>
        <v>0</v>
      </c>
      <c r="V111" s="13">
        <f t="shared" si="113"/>
        <v>100</v>
      </c>
      <c r="W111" s="13">
        <f t="shared" si="113"/>
        <v>0</v>
      </c>
      <c r="X111" s="13">
        <f t="shared" si="113"/>
        <v>0</v>
      </c>
      <c r="Y111" s="13">
        <f t="shared" si="113"/>
        <v>87.4</v>
      </c>
      <c r="Z111" s="13">
        <f t="shared" si="113"/>
        <v>228.5</v>
      </c>
      <c r="AA111" s="13">
        <f t="shared" si="113"/>
        <v>12.5</v>
      </c>
      <c r="AB111" s="13">
        <f t="shared" si="113"/>
        <v>0</v>
      </c>
      <c r="AC111" s="13">
        <f t="shared" si="113"/>
        <v>0</v>
      </c>
      <c r="AD111" s="13">
        <f t="shared" si="113"/>
        <v>0</v>
      </c>
      <c r="AE111" s="13">
        <f t="shared" si="113"/>
        <v>0</v>
      </c>
      <c r="AF111" s="112"/>
      <c r="AG111" s="15"/>
      <c r="AH111" s="15"/>
      <c r="AI111" s="15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</row>
    <row r="112" spans="1:62" ht="18.75" x14ac:dyDescent="0.3">
      <c r="A112" s="22" t="s">
        <v>28</v>
      </c>
      <c r="B112" s="28">
        <f>H112+J112+L112+N112+P112+R112+T112+V112+X112+Z112+AB112+AD112</f>
        <v>0</v>
      </c>
      <c r="C112" s="29">
        <f>H112</f>
        <v>0</v>
      </c>
      <c r="D112" s="29"/>
      <c r="E112" s="28">
        <f>I112+K112+M112+O112+Q112+S112+U112+W112+Y112+AA112+AC112+AE112</f>
        <v>0</v>
      </c>
      <c r="F112" s="24" t="e">
        <f>E112/B112*100</f>
        <v>#DIV/0!</v>
      </c>
      <c r="G112" s="24" t="e">
        <f>E112/C112*100</f>
        <v>#DIV/0!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12"/>
      <c r="AG112" s="15"/>
      <c r="AH112" s="15"/>
      <c r="AI112" s="15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</row>
    <row r="113" spans="1:62" ht="18.75" x14ac:dyDescent="0.3">
      <c r="A113" s="22" t="s">
        <v>29</v>
      </c>
      <c r="B113" s="28">
        <f>H113+J113+L113+N113+P113+R113+T113+V113+X113+Z113+AB113+AD113</f>
        <v>340</v>
      </c>
      <c r="C113" s="88">
        <f>H113+J113+N113+P113+R113+L113+V113+X113+Z113</f>
        <v>340</v>
      </c>
      <c r="D113" s="29">
        <f>E113</f>
        <v>111.4</v>
      </c>
      <c r="E113" s="28">
        <f>I113+K113+M113+O113+Q113+S113+U113+W113+Y113+AA113+AC113+AE113</f>
        <v>111.4</v>
      </c>
      <c r="F113" s="25">
        <f>E113/B113*100</f>
        <v>32.764705882352942</v>
      </c>
      <c r="G113" s="25">
        <f>E113/C113*100</f>
        <v>32.764705882352942</v>
      </c>
      <c r="H113" s="23"/>
      <c r="I113" s="23"/>
      <c r="J113" s="23">
        <v>8.5</v>
      </c>
      <c r="K113" s="23">
        <v>8.5</v>
      </c>
      <c r="L113" s="23">
        <v>2</v>
      </c>
      <c r="M113" s="23">
        <v>2</v>
      </c>
      <c r="N113" s="23">
        <v>1</v>
      </c>
      <c r="O113" s="23">
        <v>1</v>
      </c>
      <c r="P113" s="23"/>
      <c r="Q113" s="23"/>
      <c r="R113" s="23"/>
      <c r="S113" s="23"/>
      <c r="T113" s="23"/>
      <c r="U113" s="23"/>
      <c r="V113" s="23">
        <v>100</v>
      </c>
      <c r="W113" s="23"/>
      <c r="X113" s="23"/>
      <c r="Y113" s="23">
        <v>87.4</v>
      </c>
      <c r="Z113" s="23">
        <v>228.5</v>
      </c>
      <c r="AA113" s="23">
        <v>12.5</v>
      </c>
      <c r="AB113" s="23"/>
      <c r="AC113" s="23"/>
      <c r="AD113" s="23"/>
      <c r="AE113" s="23"/>
      <c r="AF113" s="112"/>
      <c r="AG113" s="15"/>
      <c r="AH113" s="15"/>
      <c r="AI113" s="15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</row>
    <row r="114" spans="1:62" ht="18.75" x14ac:dyDescent="0.3">
      <c r="A114" s="22" t="s">
        <v>30</v>
      </c>
      <c r="B114" s="28">
        <f t="shared" ref="B114:B115" si="114">H114+J114+L114+N114+P114+R114+T114+V114+X114+Z114+AB114+AD114</f>
        <v>0</v>
      </c>
      <c r="C114" s="29">
        <f t="shared" ref="C114:C115" si="115">H114</f>
        <v>0</v>
      </c>
      <c r="D114" s="29"/>
      <c r="E114" s="28">
        <f t="shared" ref="E114:E115" si="116">I114+K114+M114+O114+Q114+S114+U114+W114+Y114+AA114+AC114+AE114</f>
        <v>0</v>
      </c>
      <c r="F114" s="24" t="e">
        <f t="shared" ref="F114:F115" si="117">E114/B114*100</f>
        <v>#DIV/0!</v>
      </c>
      <c r="G114" s="24" t="e">
        <f t="shared" ref="G114:G115" si="118">E114/C114*100</f>
        <v>#DIV/0!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12"/>
      <c r="AG114" s="15"/>
      <c r="AH114" s="15"/>
      <c r="AI114" s="15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</row>
    <row r="115" spans="1:62" ht="18.75" x14ac:dyDescent="0.3">
      <c r="A115" s="22" t="s">
        <v>31</v>
      </c>
      <c r="B115" s="28">
        <f t="shared" si="114"/>
        <v>0</v>
      </c>
      <c r="C115" s="29">
        <f t="shared" si="115"/>
        <v>0</v>
      </c>
      <c r="D115" s="29"/>
      <c r="E115" s="28">
        <f t="shared" si="116"/>
        <v>0</v>
      </c>
      <c r="F115" s="24" t="e">
        <f t="shared" si="117"/>
        <v>#DIV/0!</v>
      </c>
      <c r="G115" s="24" t="e">
        <f t="shared" si="118"/>
        <v>#DIV/0!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13"/>
      <c r="AG115" s="15"/>
      <c r="AH115" s="15"/>
      <c r="AI115" s="15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</row>
    <row r="116" spans="1:62" ht="18.75" x14ac:dyDescent="0.25">
      <c r="A116" s="105" t="s">
        <v>95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7"/>
      <c r="AF116" s="111" t="s">
        <v>51</v>
      </c>
      <c r="AG116" s="15"/>
      <c r="AH116" s="15"/>
      <c r="AI116" s="15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</row>
    <row r="117" spans="1:62" ht="18.75" x14ac:dyDescent="0.3">
      <c r="A117" s="19" t="s">
        <v>27</v>
      </c>
      <c r="B117" s="27">
        <f>H117+J117+L117+N117+P117+R117+T117+V117+X117+Z117+AB117+AD117</f>
        <v>56087.3</v>
      </c>
      <c r="C117" s="20">
        <f>C118+C119+C120+C121</f>
        <v>44223.4</v>
      </c>
      <c r="D117" s="20">
        <f>D118+D119+D120+D121</f>
        <v>44223.399999999994</v>
      </c>
      <c r="E117" s="20">
        <f>E118+E119+E120+E121</f>
        <v>44223.399999999994</v>
      </c>
      <c r="F117" s="21">
        <f>E117/B117*100</f>
        <v>78.847439616455048</v>
      </c>
      <c r="G117" s="21">
        <f>E117/C117*100</f>
        <v>99.999999999999986</v>
      </c>
      <c r="H117" s="13">
        <f>SUM(H118:H121)</f>
        <v>6231.9</v>
      </c>
      <c r="I117" s="13">
        <f t="shared" ref="I117:AE117" si="119">SUM(I118:I121)</f>
        <v>6231.9</v>
      </c>
      <c r="J117" s="13">
        <f t="shared" si="119"/>
        <v>6231.9</v>
      </c>
      <c r="K117" s="13">
        <f t="shared" si="119"/>
        <v>6231.9</v>
      </c>
      <c r="L117" s="13">
        <f t="shared" si="119"/>
        <v>6231.9</v>
      </c>
      <c r="M117" s="13">
        <f t="shared" si="119"/>
        <v>6231.9</v>
      </c>
      <c r="N117" s="13">
        <f t="shared" si="119"/>
        <v>6231.9</v>
      </c>
      <c r="O117" s="13">
        <f t="shared" si="119"/>
        <v>6231.9</v>
      </c>
      <c r="P117" s="13">
        <f t="shared" si="119"/>
        <v>6231.9</v>
      </c>
      <c r="Q117" s="13">
        <f t="shared" si="119"/>
        <v>6231.9</v>
      </c>
      <c r="R117" s="13">
        <f t="shared" si="119"/>
        <v>600.1</v>
      </c>
      <c r="S117" s="13">
        <f t="shared" si="119"/>
        <v>600.1</v>
      </c>
      <c r="T117" s="13">
        <f t="shared" si="119"/>
        <v>0</v>
      </c>
      <c r="U117" s="13">
        <f t="shared" si="119"/>
        <v>0</v>
      </c>
      <c r="V117" s="13">
        <f t="shared" si="119"/>
        <v>0</v>
      </c>
      <c r="W117" s="13">
        <f t="shared" si="119"/>
        <v>0</v>
      </c>
      <c r="X117" s="13">
        <f t="shared" si="119"/>
        <v>6231.9</v>
      </c>
      <c r="Y117" s="13">
        <f t="shared" si="119"/>
        <v>3235.7</v>
      </c>
      <c r="Z117" s="13">
        <f t="shared" si="119"/>
        <v>6231.9</v>
      </c>
      <c r="AA117" s="13">
        <f t="shared" si="119"/>
        <v>9228.1</v>
      </c>
      <c r="AB117" s="13">
        <f t="shared" si="119"/>
        <v>6232</v>
      </c>
      <c r="AC117" s="13">
        <f t="shared" si="119"/>
        <v>0</v>
      </c>
      <c r="AD117" s="13">
        <f t="shared" si="119"/>
        <v>5631.9</v>
      </c>
      <c r="AE117" s="13">
        <f t="shared" si="119"/>
        <v>0</v>
      </c>
      <c r="AF117" s="112"/>
      <c r="AG117" s="15"/>
      <c r="AH117" s="15"/>
      <c r="AI117" s="15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</row>
    <row r="118" spans="1:62" ht="18.75" x14ac:dyDescent="0.3">
      <c r="A118" s="22" t="s">
        <v>28</v>
      </c>
      <c r="B118" s="28">
        <f>H118+J118+L118+N118+P118+R118+T118+V118+X118+Z118+AB118+AD118</f>
        <v>0</v>
      </c>
      <c r="C118" s="29">
        <f>H118</f>
        <v>0</v>
      </c>
      <c r="D118" s="29"/>
      <c r="E118" s="28">
        <f>I118+K118+M118+O118+Q118+S118+U118+W118+Y118+AA118+AC118+AE118</f>
        <v>0</v>
      </c>
      <c r="F118" s="24" t="e">
        <f>E118/B118*100</f>
        <v>#DIV/0!</v>
      </c>
      <c r="G118" s="24" t="e">
        <f>E118/C118*100</f>
        <v>#DIV/0!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12"/>
      <c r="AG118" s="15"/>
      <c r="AH118" s="15"/>
      <c r="AI118" s="15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</row>
    <row r="119" spans="1:62" ht="18.75" x14ac:dyDescent="0.3">
      <c r="A119" s="22" t="s">
        <v>29</v>
      </c>
      <c r="B119" s="28">
        <f>H119+J119+L119+N119+P119+R119+T119+V119+X119+Z119+AB119+AD119</f>
        <v>56087.3</v>
      </c>
      <c r="C119" s="88">
        <f>H119+J119+N119+P119+R119+L119+X119+Z119</f>
        <v>44223.4</v>
      </c>
      <c r="D119" s="29">
        <f>E119</f>
        <v>44223.399999999994</v>
      </c>
      <c r="E119" s="28">
        <f>I119+K119+M119+O119+Q119+S119+U119+W119+Y119+AA119+AC119+AE119</f>
        <v>44223.399999999994</v>
      </c>
      <c r="F119" s="25">
        <f>E119/B119*100</f>
        <v>78.847439616455048</v>
      </c>
      <c r="G119" s="25">
        <f>E119/C119*100</f>
        <v>99.999999999999986</v>
      </c>
      <c r="H119" s="13">
        <v>6231.9</v>
      </c>
      <c r="I119" s="13">
        <v>6231.9</v>
      </c>
      <c r="J119" s="13">
        <v>6231.9</v>
      </c>
      <c r="K119" s="13">
        <v>6231.9</v>
      </c>
      <c r="L119" s="13">
        <v>6231.9</v>
      </c>
      <c r="M119" s="13">
        <v>6231.9</v>
      </c>
      <c r="N119" s="13">
        <v>6231.9</v>
      </c>
      <c r="O119" s="13">
        <v>6231.9</v>
      </c>
      <c r="P119" s="13">
        <v>6231.9</v>
      </c>
      <c r="Q119" s="13">
        <v>6231.9</v>
      </c>
      <c r="R119" s="13">
        <v>600.1</v>
      </c>
      <c r="S119" s="13">
        <v>600.1</v>
      </c>
      <c r="T119" s="13"/>
      <c r="U119" s="13"/>
      <c r="V119" s="13"/>
      <c r="W119" s="13"/>
      <c r="X119" s="13">
        <v>6231.9</v>
      </c>
      <c r="Y119" s="13">
        <v>3235.7</v>
      </c>
      <c r="Z119" s="13">
        <v>6231.9</v>
      </c>
      <c r="AA119" s="13">
        <v>9228.1</v>
      </c>
      <c r="AB119" s="13">
        <v>6232</v>
      </c>
      <c r="AC119" s="13"/>
      <c r="AD119" s="13">
        <f>6232-600.1</f>
        <v>5631.9</v>
      </c>
      <c r="AE119" s="13"/>
      <c r="AF119" s="112"/>
      <c r="AG119" s="15"/>
      <c r="AH119" s="15"/>
      <c r="AI119" s="15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</row>
    <row r="120" spans="1:62" ht="18.75" x14ac:dyDescent="0.3">
      <c r="A120" s="22" t="s">
        <v>30</v>
      </c>
      <c r="B120" s="28">
        <f t="shared" ref="B120:B121" si="120">H120+J120+L120+N120+P120+R120+T120+V120+X120+Z120+AB120+AD120</f>
        <v>0</v>
      </c>
      <c r="C120" s="29">
        <f t="shared" ref="C120:C121" si="121">H120</f>
        <v>0</v>
      </c>
      <c r="D120" s="29"/>
      <c r="E120" s="28">
        <f t="shared" ref="E120:E121" si="122">I120+K120+M120+O120+Q120+S120+U120+W120+Y120+AA120+AC120+AE120</f>
        <v>0</v>
      </c>
      <c r="F120" s="24" t="e">
        <f t="shared" ref="F120:F121" si="123">E120/B120*100</f>
        <v>#DIV/0!</v>
      </c>
      <c r="G120" s="24" t="e">
        <f t="shared" ref="G120:G121" si="124">E120/C120*100</f>
        <v>#DIV/0!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12"/>
      <c r="AG120" s="15"/>
      <c r="AH120" s="15"/>
      <c r="AI120" s="15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</row>
    <row r="121" spans="1:62" ht="18.75" x14ac:dyDescent="0.3">
      <c r="A121" s="22" t="s">
        <v>31</v>
      </c>
      <c r="B121" s="28">
        <f t="shared" si="120"/>
        <v>0</v>
      </c>
      <c r="C121" s="29">
        <f t="shared" si="121"/>
        <v>0</v>
      </c>
      <c r="D121" s="29"/>
      <c r="E121" s="28">
        <f t="shared" si="122"/>
        <v>0</v>
      </c>
      <c r="F121" s="24" t="e">
        <f t="shared" si="123"/>
        <v>#DIV/0!</v>
      </c>
      <c r="G121" s="24" t="e">
        <f t="shared" si="124"/>
        <v>#DIV/0!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13"/>
      <c r="AG121" s="15"/>
      <c r="AH121" s="15"/>
      <c r="AI121" s="15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</row>
    <row r="122" spans="1:62" ht="18.75" x14ac:dyDescent="0.25">
      <c r="A122" s="105" t="s">
        <v>52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7"/>
      <c r="AF122" s="111" t="s">
        <v>129</v>
      </c>
      <c r="AG122" s="15"/>
      <c r="AH122" s="15"/>
      <c r="AI122" s="15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</row>
    <row r="123" spans="1:62" ht="18.75" x14ac:dyDescent="0.3">
      <c r="A123" s="19" t="s">
        <v>27</v>
      </c>
      <c r="B123" s="27">
        <f>H123+J123+L123+N123+P123+R123+T123+V123+X123+Z123+AB123+AD123</f>
        <v>2837</v>
      </c>
      <c r="C123" s="20">
        <f>C124+C125+C126+C127</f>
        <v>2837</v>
      </c>
      <c r="D123" s="20">
        <f>D124+D125+D126+D127</f>
        <v>1323.6</v>
      </c>
      <c r="E123" s="20">
        <f>E124+E125+E126+E127</f>
        <v>1323.6</v>
      </c>
      <c r="F123" s="21">
        <f>E123/B123*100</f>
        <v>46.654917166020446</v>
      </c>
      <c r="G123" s="21">
        <f>E123/C123*100</f>
        <v>46.654917166020446</v>
      </c>
      <c r="H123" s="13">
        <f>SUM(H124:H127)</f>
        <v>0</v>
      </c>
      <c r="I123" s="13">
        <f t="shared" ref="I123:AE123" si="125">SUM(I124:I127)</f>
        <v>0</v>
      </c>
      <c r="J123" s="13">
        <f t="shared" si="125"/>
        <v>0</v>
      </c>
      <c r="K123" s="13">
        <f t="shared" si="125"/>
        <v>0</v>
      </c>
      <c r="L123" s="13">
        <f t="shared" si="125"/>
        <v>0</v>
      </c>
      <c r="M123" s="13">
        <f t="shared" si="125"/>
        <v>0</v>
      </c>
      <c r="N123" s="13">
        <f t="shared" si="125"/>
        <v>0</v>
      </c>
      <c r="O123" s="13">
        <f t="shared" si="125"/>
        <v>0</v>
      </c>
      <c r="P123" s="13">
        <f t="shared" si="125"/>
        <v>0</v>
      </c>
      <c r="Q123" s="13">
        <f t="shared" si="125"/>
        <v>0</v>
      </c>
      <c r="R123" s="13">
        <f t="shared" si="125"/>
        <v>0</v>
      </c>
      <c r="S123" s="13">
        <f t="shared" si="125"/>
        <v>0</v>
      </c>
      <c r="T123" s="13">
        <f t="shared" si="125"/>
        <v>0</v>
      </c>
      <c r="U123" s="13">
        <f t="shared" si="125"/>
        <v>0</v>
      </c>
      <c r="V123" s="13">
        <f t="shared" si="125"/>
        <v>2837</v>
      </c>
      <c r="W123" s="13">
        <f t="shared" si="125"/>
        <v>450.5</v>
      </c>
      <c r="X123" s="13">
        <f t="shared" si="125"/>
        <v>0</v>
      </c>
      <c r="Y123" s="13">
        <f t="shared" si="125"/>
        <v>421.7</v>
      </c>
      <c r="Z123" s="13">
        <f t="shared" si="125"/>
        <v>0</v>
      </c>
      <c r="AA123" s="13">
        <f t="shared" si="125"/>
        <v>451.4</v>
      </c>
      <c r="AB123" s="13">
        <f t="shared" si="125"/>
        <v>0</v>
      </c>
      <c r="AC123" s="13">
        <f t="shared" si="125"/>
        <v>0</v>
      </c>
      <c r="AD123" s="13">
        <f t="shared" si="125"/>
        <v>0</v>
      </c>
      <c r="AE123" s="13">
        <f t="shared" si="125"/>
        <v>0</v>
      </c>
      <c r="AF123" s="112"/>
      <c r="AG123" s="15"/>
      <c r="AH123" s="15"/>
      <c r="AI123" s="15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</row>
    <row r="124" spans="1:62" ht="18.75" x14ac:dyDescent="0.3">
      <c r="A124" s="22" t="s">
        <v>28</v>
      </c>
      <c r="B124" s="28">
        <f>H124+J124+L124+N124+P124+R124+T124+V124+X124+Z124+AB124+AD124</f>
        <v>1600.8</v>
      </c>
      <c r="C124" s="29">
        <f>V124</f>
        <v>1600.8</v>
      </c>
      <c r="D124" s="29">
        <f>E124</f>
        <v>746.8</v>
      </c>
      <c r="E124" s="28">
        <f>I124+K124+M124+O124+Q124+S124+U124+W124+Y124+AA124+AC124+AE124</f>
        <v>746.8</v>
      </c>
      <c r="F124" s="24">
        <f>E124/B124*100</f>
        <v>46.651674162918539</v>
      </c>
      <c r="G124" s="24">
        <f>E124/C124*100</f>
        <v>46.651674162918539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>
        <v>1600.8</v>
      </c>
      <c r="W124" s="13">
        <v>254.2</v>
      </c>
      <c r="X124" s="13"/>
      <c r="Y124" s="13">
        <v>237.9</v>
      </c>
      <c r="Z124" s="13"/>
      <c r="AA124" s="13">
        <v>254.7</v>
      </c>
      <c r="AB124" s="13"/>
      <c r="AC124" s="13"/>
      <c r="AD124" s="13"/>
      <c r="AE124" s="13"/>
      <c r="AF124" s="112"/>
      <c r="AG124" s="15"/>
      <c r="AH124" s="15"/>
      <c r="AI124" s="15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</row>
    <row r="125" spans="1:62" ht="18.75" x14ac:dyDescent="0.3">
      <c r="A125" s="22" t="s">
        <v>29</v>
      </c>
      <c r="B125" s="28">
        <f>H125+J125+L125+N125+P125+R125+T125+V125+X125+Z125+AB125+AD125</f>
        <v>212.8</v>
      </c>
      <c r="C125" s="29">
        <f t="shared" ref="C125:C127" si="126">V125</f>
        <v>212.8</v>
      </c>
      <c r="D125" s="29">
        <f>E125</f>
        <v>99.300000000000011</v>
      </c>
      <c r="E125" s="28">
        <f>I125+K125+M125+O125+Q125+S125+U125+W125+Y125+AA125+AC125+AE125</f>
        <v>99.300000000000011</v>
      </c>
      <c r="F125" s="25">
        <f>E125/B125*100</f>
        <v>46.663533834586467</v>
      </c>
      <c r="G125" s="25">
        <f>E125/C125*100</f>
        <v>46.663533834586467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>
        <v>212.8</v>
      </c>
      <c r="W125" s="23">
        <v>33.799999999999997</v>
      </c>
      <c r="X125" s="23"/>
      <c r="Y125" s="23">
        <v>31.6</v>
      </c>
      <c r="Z125" s="23"/>
      <c r="AA125" s="23">
        <v>33.9</v>
      </c>
      <c r="AB125" s="23"/>
      <c r="AC125" s="23"/>
      <c r="AD125" s="23"/>
      <c r="AE125" s="23"/>
      <c r="AF125" s="112"/>
      <c r="AG125" s="15"/>
      <c r="AH125" s="33"/>
      <c r="AI125" s="33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</row>
    <row r="126" spans="1:62" ht="18.75" x14ac:dyDescent="0.3">
      <c r="A126" s="22" t="s">
        <v>30</v>
      </c>
      <c r="B126" s="28">
        <f t="shared" ref="B126:B127" si="127">H126+J126+L126+N126+P126+R126+T126+V126+X126+Z126+AB126+AD126</f>
        <v>1023.4</v>
      </c>
      <c r="C126" s="29">
        <f t="shared" si="126"/>
        <v>1023.4</v>
      </c>
      <c r="D126" s="29">
        <f>E126</f>
        <v>477.5</v>
      </c>
      <c r="E126" s="28">
        <f t="shared" ref="E126:E127" si="128">I126+K126+M126+O126+Q126+S126+U126+W126+Y126+AA126+AC126+AE126</f>
        <v>477.5</v>
      </c>
      <c r="F126" s="24">
        <f t="shared" ref="F126:F127" si="129">E126/B126*100</f>
        <v>46.658198162986125</v>
      </c>
      <c r="G126" s="24">
        <f t="shared" ref="G126:G127" si="130">E126/C126*100</f>
        <v>46.658198162986125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>
        <v>1023.4</v>
      </c>
      <c r="W126" s="13">
        <v>162.5</v>
      </c>
      <c r="X126" s="13"/>
      <c r="Y126" s="13">
        <v>152.19999999999999</v>
      </c>
      <c r="Z126" s="13"/>
      <c r="AA126" s="13">
        <v>162.80000000000001</v>
      </c>
      <c r="AB126" s="13"/>
      <c r="AC126" s="13"/>
      <c r="AD126" s="13"/>
      <c r="AE126" s="13"/>
      <c r="AF126" s="112"/>
      <c r="AG126" s="15"/>
      <c r="AH126" s="15"/>
      <c r="AI126" s="15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</row>
    <row r="127" spans="1:62" ht="18.75" x14ac:dyDescent="0.3">
      <c r="A127" s="22" t="s">
        <v>31</v>
      </c>
      <c r="B127" s="28">
        <f t="shared" si="127"/>
        <v>0</v>
      </c>
      <c r="C127" s="29">
        <f t="shared" si="126"/>
        <v>0</v>
      </c>
      <c r="D127" s="29"/>
      <c r="E127" s="28">
        <f t="shared" si="128"/>
        <v>0</v>
      </c>
      <c r="F127" s="24" t="e">
        <f t="shared" si="129"/>
        <v>#DIV/0!</v>
      </c>
      <c r="G127" s="24" t="e">
        <f t="shared" si="130"/>
        <v>#DIV/0!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13"/>
      <c r="AG127" s="15"/>
      <c r="AH127" s="15"/>
      <c r="AI127" s="15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</row>
    <row r="128" spans="1:62" ht="75" x14ac:dyDescent="0.3">
      <c r="A128" s="44" t="s">
        <v>53</v>
      </c>
      <c r="B128" s="20">
        <f>H128+J128+L128+N128+P128+R128+T128+V128+X128+Z128+AB128+AD128</f>
        <v>2357422.8300000005</v>
      </c>
      <c r="C128" s="13">
        <f>C129+C130+C132+C133</f>
        <v>1943215.03</v>
      </c>
      <c r="D128" s="13">
        <f t="shared" ref="D128:E128" si="131">D129+D130+D132+D133</f>
        <v>1842622.29</v>
      </c>
      <c r="E128" s="13">
        <f t="shared" si="131"/>
        <v>1842622.29</v>
      </c>
      <c r="F128" s="21">
        <f>E128/B128*100</f>
        <v>78.162570861333336</v>
      </c>
      <c r="G128" s="21">
        <f>E128/C128*100</f>
        <v>94.823386066543549</v>
      </c>
      <c r="H128" s="13">
        <f>H129+H130+H132+H133</f>
        <v>157113.69999999998</v>
      </c>
      <c r="I128" s="13">
        <f t="shared" ref="I128:AE128" si="132">I129+I130+I132+I133</f>
        <v>151408.4</v>
      </c>
      <c r="J128" s="13">
        <f t="shared" si="132"/>
        <v>265529.3</v>
      </c>
      <c r="K128" s="13">
        <f t="shared" si="132"/>
        <v>253676.2</v>
      </c>
      <c r="L128" s="13">
        <f t="shared" si="132"/>
        <v>210839.9</v>
      </c>
      <c r="M128" s="13">
        <f t="shared" si="132"/>
        <v>216684.80000000002</v>
      </c>
      <c r="N128" s="13">
        <f t="shared" si="132"/>
        <v>213094.69999999998</v>
      </c>
      <c r="O128" s="13">
        <f t="shared" si="132"/>
        <v>205274.69999999998</v>
      </c>
      <c r="P128" s="13">
        <f t="shared" si="132"/>
        <v>395543.2</v>
      </c>
      <c r="Q128" s="13">
        <f t="shared" si="132"/>
        <v>381334.30000000005</v>
      </c>
      <c r="R128" s="13">
        <f t="shared" si="132"/>
        <v>208666.23</v>
      </c>
      <c r="S128" s="13">
        <f t="shared" si="132"/>
        <v>137327.39999999997</v>
      </c>
      <c r="T128" s="13">
        <f t="shared" si="132"/>
        <v>147368.40000000002</v>
      </c>
      <c r="U128" s="13">
        <f t="shared" si="132"/>
        <v>221157.35000000003</v>
      </c>
      <c r="V128" s="13">
        <f t="shared" si="132"/>
        <v>102868.4</v>
      </c>
      <c r="W128" s="13">
        <f t="shared" si="132"/>
        <v>52869.700000000004</v>
      </c>
      <c r="X128" s="13">
        <f t="shared" si="132"/>
        <v>138755.29999999999</v>
      </c>
      <c r="Y128" s="13">
        <f t="shared" si="132"/>
        <v>135201.84</v>
      </c>
      <c r="Z128" s="13">
        <f t="shared" si="132"/>
        <v>144604.40000000005</v>
      </c>
      <c r="AA128" s="13">
        <f t="shared" si="132"/>
        <v>87687.6</v>
      </c>
      <c r="AB128" s="13">
        <f t="shared" si="132"/>
        <v>261306.19999999998</v>
      </c>
      <c r="AC128" s="13">
        <f t="shared" si="132"/>
        <v>0</v>
      </c>
      <c r="AD128" s="13">
        <f t="shared" si="132"/>
        <v>111733.09999999999</v>
      </c>
      <c r="AE128" s="13">
        <f t="shared" si="132"/>
        <v>0</v>
      </c>
      <c r="AF128" s="45"/>
      <c r="AG128" s="15"/>
      <c r="AH128" s="15"/>
      <c r="AI128" s="15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</row>
    <row r="129" spans="1:62" ht="18.75" x14ac:dyDescent="0.3">
      <c r="A129" s="19" t="s">
        <v>28</v>
      </c>
      <c r="B129" s="20">
        <f>H129+J129+L129+N129+P129+R129+T129+V129+X129+Z129+AB129+AD129</f>
        <v>1761047.5</v>
      </c>
      <c r="C129" s="27">
        <f>C106+C79+C55+C43+C13</f>
        <v>1451798.7</v>
      </c>
      <c r="D129" s="27">
        <f t="shared" ref="C129:E130" si="133">D106+D79+D55+D43+D13</f>
        <v>1324984.05</v>
      </c>
      <c r="E129" s="27">
        <f t="shared" si="133"/>
        <v>1324984.05</v>
      </c>
      <c r="F129" s="21">
        <f>E129/B129*100</f>
        <v>75.238404983397672</v>
      </c>
      <c r="G129" s="21">
        <f>E129/C129*100</f>
        <v>91.264997688729167</v>
      </c>
      <c r="H129" s="27">
        <f t="shared" ref="H129:AE130" si="134">H106+H79+H55+H43+H13</f>
        <v>99100.7</v>
      </c>
      <c r="I129" s="27">
        <f t="shared" si="134"/>
        <v>97670.7</v>
      </c>
      <c r="J129" s="27">
        <f t="shared" si="134"/>
        <v>178518.6</v>
      </c>
      <c r="K129" s="27">
        <f t="shared" si="134"/>
        <v>168740.7</v>
      </c>
      <c r="L129" s="27">
        <f t="shared" si="134"/>
        <v>156797.5</v>
      </c>
      <c r="M129" s="27">
        <f t="shared" si="134"/>
        <v>158360.80000000002</v>
      </c>
      <c r="N129" s="27">
        <f t="shared" si="134"/>
        <v>151203.4</v>
      </c>
      <c r="O129" s="27">
        <f t="shared" si="134"/>
        <v>144525.19999999998</v>
      </c>
      <c r="P129" s="27">
        <f t="shared" si="134"/>
        <v>330720.40000000002</v>
      </c>
      <c r="Q129" s="27">
        <f t="shared" si="134"/>
        <v>326530</v>
      </c>
      <c r="R129" s="27">
        <f t="shared" si="134"/>
        <v>162458.79999999999</v>
      </c>
      <c r="S129" s="27">
        <f t="shared" si="134"/>
        <v>87248.799999999988</v>
      </c>
      <c r="T129" s="27">
        <f t="shared" si="134"/>
        <v>106070.70000000001</v>
      </c>
      <c r="U129" s="27">
        <f t="shared" si="134"/>
        <v>181649.65000000002</v>
      </c>
      <c r="V129" s="27">
        <f t="shared" si="134"/>
        <v>77285.5</v>
      </c>
      <c r="W129" s="27">
        <f t="shared" si="134"/>
        <v>27123.5</v>
      </c>
      <c r="X129" s="27">
        <f t="shared" si="134"/>
        <v>94862.6</v>
      </c>
      <c r="Y129" s="27">
        <f t="shared" si="134"/>
        <v>98284.499999999985</v>
      </c>
      <c r="Z129" s="27">
        <f t="shared" si="134"/>
        <v>96381.300000000017</v>
      </c>
      <c r="AA129" s="27">
        <f t="shared" si="134"/>
        <v>34850.199999999997</v>
      </c>
      <c r="AB129" s="27">
        <f t="shared" si="134"/>
        <v>232133.19999999998</v>
      </c>
      <c r="AC129" s="27">
        <f t="shared" si="134"/>
        <v>0</v>
      </c>
      <c r="AD129" s="27">
        <f t="shared" si="134"/>
        <v>75514.8</v>
      </c>
      <c r="AE129" s="27">
        <f t="shared" si="134"/>
        <v>0</v>
      </c>
      <c r="AF129" s="45"/>
      <c r="AG129" s="15"/>
      <c r="AH129" s="15"/>
      <c r="AI129" s="15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</row>
    <row r="130" spans="1:62" ht="18.75" x14ac:dyDescent="0.3">
      <c r="A130" s="19" t="s">
        <v>29</v>
      </c>
      <c r="B130" s="20">
        <f>B107+B80+B56+B44+B14</f>
        <v>524349.5</v>
      </c>
      <c r="C130" s="27">
        <f t="shared" si="133"/>
        <v>431667.8</v>
      </c>
      <c r="D130" s="27">
        <f t="shared" si="133"/>
        <v>460454.83999999997</v>
      </c>
      <c r="E130" s="27">
        <f t="shared" si="133"/>
        <v>460454.83999999997</v>
      </c>
      <c r="F130" s="21">
        <f>E130/B130*100</f>
        <v>87.814490144455164</v>
      </c>
      <c r="G130" s="21">
        <f>E130/C130*100</f>
        <v>106.66879484640734</v>
      </c>
      <c r="H130" s="27">
        <f t="shared" si="134"/>
        <v>53937.700000000004</v>
      </c>
      <c r="I130" s="27">
        <f t="shared" si="134"/>
        <v>53737.700000000004</v>
      </c>
      <c r="J130" s="27">
        <f t="shared" si="134"/>
        <v>76910.399999999994</v>
      </c>
      <c r="K130" s="27">
        <f t="shared" si="134"/>
        <v>74943.900000000009</v>
      </c>
      <c r="L130" s="27">
        <f t="shared" si="134"/>
        <v>49967.1</v>
      </c>
      <c r="M130" s="27">
        <f t="shared" si="134"/>
        <v>51004.299999999996</v>
      </c>
      <c r="N130" s="27">
        <f t="shared" si="134"/>
        <v>53816</v>
      </c>
      <c r="O130" s="27">
        <f t="shared" si="134"/>
        <v>52882.9</v>
      </c>
      <c r="P130" s="27">
        <f t="shared" si="134"/>
        <v>48521.799999999996</v>
      </c>
      <c r="Q130" s="27">
        <f t="shared" si="134"/>
        <v>47443.9</v>
      </c>
      <c r="R130" s="27">
        <f t="shared" si="134"/>
        <v>44237.200000000004</v>
      </c>
      <c r="S130" s="27">
        <f t="shared" si="134"/>
        <v>41517.000000000007</v>
      </c>
      <c r="T130" s="27">
        <f t="shared" si="134"/>
        <v>40297.699999999997</v>
      </c>
      <c r="U130" s="27">
        <f t="shared" si="134"/>
        <v>39507.700000000004</v>
      </c>
      <c r="V130" s="27">
        <f t="shared" si="134"/>
        <v>24559.5</v>
      </c>
      <c r="W130" s="27">
        <f t="shared" si="134"/>
        <v>25259.9</v>
      </c>
      <c r="X130" s="27">
        <f t="shared" si="134"/>
        <v>39817.4</v>
      </c>
      <c r="Y130" s="27">
        <f t="shared" si="134"/>
        <v>31595.14</v>
      </c>
      <c r="Z130" s="27">
        <f t="shared" si="134"/>
        <v>38147.300000000003</v>
      </c>
      <c r="AA130" s="27">
        <f t="shared" si="134"/>
        <v>42562.400000000001</v>
      </c>
      <c r="AB130" s="27">
        <f t="shared" si="134"/>
        <v>24994.299999999996</v>
      </c>
      <c r="AC130" s="27">
        <f t="shared" si="134"/>
        <v>0</v>
      </c>
      <c r="AD130" s="27">
        <f t="shared" si="134"/>
        <v>29143.1</v>
      </c>
      <c r="AE130" s="27">
        <f t="shared" si="134"/>
        <v>0</v>
      </c>
      <c r="AF130" s="45"/>
      <c r="AG130" s="15"/>
      <c r="AH130" s="15"/>
      <c r="AI130" s="15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</row>
    <row r="131" spans="1:62" ht="37.5" x14ac:dyDescent="0.3">
      <c r="A131" s="19" t="s">
        <v>44</v>
      </c>
      <c r="B131" s="20">
        <f>B81</f>
        <v>2795.9999999999991</v>
      </c>
      <c r="C131" s="27">
        <f>C81</f>
        <v>2795.0999999999995</v>
      </c>
      <c r="D131" s="27">
        <f>D81</f>
        <v>2265.6</v>
      </c>
      <c r="E131" s="27">
        <f>E81</f>
        <v>2265.6</v>
      </c>
      <c r="F131" s="21">
        <f t="shared" ref="F131:F133" si="135">E131/B131*100</f>
        <v>81.030042918454953</v>
      </c>
      <c r="G131" s="21">
        <f t="shared" ref="G131:G133" si="136">E131/C131*100</f>
        <v>81.056133948695944</v>
      </c>
      <c r="H131" s="27">
        <f>H81</f>
        <v>0</v>
      </c>
      <c r="I131" s="27">
        <f t="shared" ref="I131:AE131" si="137">I81</f>
        <v>0</v>
      </c>
      <c r="J131" s="27">
        <f t="shared" si="137"/>
        <v>0</v>
      </c>
      <c r="K131" s="27">
        <f t="shared" si="137"/>
        <v>0</v>
      </c>
      <c r="L131" s="27">
        <f t="shared" si="137"/>
        <v>0</v>
      </c>
      <c r="M131" s="27">
        <f t="shared" si="137"/>
        <v>0</v>
      </c>
      <c r="N131" s="27">
        <f t="shared" si="137"/>
        <v>334</v>
      </c>
      <c r="O131" s="27">
        <f t="shared" si="137"/>
        <v>334</v>
      </c>
      <c r="P131" s="27">
        <f t="shared" si="137"/>
        <v>0</v>
      </c>
      <c r="Q131" s="27">
        <f t="shared" si="137"/>
        <v>0</v>
      </c>
      <c r="R131" s="27">
        <f t="shared" si="137"/>
        <v>784.1</v>
      </c>
      <c r="S131" s="27">
        <f t="shared" si="137"/>
        <v>784.1</v>
      </c>
      <c r="T131" s="27">
        <f t="shared" si="137"/>
        <v>625.4</v>
      </c>
      <c r="U131" s="27">
        <f t="shared" si="137"/>
        <v>625.4</v>
      </c>
      <c r="V131" s="27">
        <f t="shared" si="137"/>
        <v>717.5</v>
      </c>
      <c r="W131" s="27">
        <f t="shared" si="137"/>
        <v>522.1</v>
      </c>
      <c r="X131" s="27">
        <f t="shared" si="137"/>
        <v>0</v>
      </c>
      <c r="Y131" s="27">
        <f t="shared" si="137"/>
        <v>0</v>
      </c>
      <c r="Z131" s="27">
        <f t="shared" si="137"/>
        <v>334.1</v>
      </c>
      <c r="AA131" s="27">
        <f t="shared" si="137"/>
        <v>0</v>
      </c>
      <c r="AB131" s="27">
        <f t="shared" si="137"/>
        <v>0</v>
      </c>
      <c r="AC131" s="27">
        <f t="shared" si="137"/>
        <v>0</v>
      </c>
      <c r="AD131" s="27">
        <f t="shared" si="137"/>
        <v>0.8999999999996362</v>
      </c>
      <c r="AE131" s="27">
        <f t="shared" si="137"/>
        <v>0</v>
      </c>
      <c r="AF131" s="45"/>
      <c r="AG131" s="15"/>
      <c r="AH131" s="15"/>
      <c r="AI131" s="15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</row>
    <row r="132" spans="1:62" ht="18.75" x14ac:dyDescent="0.3">
      <c r="A132" s="19" t="s">
        <v>30</v>
      </c>
      <c r="B132" s="20">
        <f t="shared" ref="B132:B133" si="138">H132+J132+L132+N132+P132+R132+T132+V132+X132+Z132+AB132+AD132</f>
        <v>49926.499999999993</v>
      </c>
      <c r="C132" s="27">
        <f t="shared" ref="C132:E133" si="139">C15+C45+C57+C82+C108</f>
        <v>40752.699999999997</v>
      </c>
      <c r="D132" s="27">
        <f t="shared" si="139"/>
        <v>38522.400000000001</v>
      </c>
      <c r="E132" s="27">
        <f t="shared" si="139"/>
        <v>38522.400000000001</v>
      </c>
      <c r="F132" s="21">
        <f t="shared" si="135"/>
        <v>77.158222587203213</v>
      </c>
      <c r="G132" s="21">
        <f t="shared" si="136"/>
        <v>94.527233778375432</v>
      </c>
      <c r="H132" s="27">
        <f t="shared" ref="H132:AE133" si="140">H15+H45+H57+H82+H108</f>
        <v>4075.3</v>
      </c>
      <c r="I132" s="27">
        <f t="shared" si="140"/>
        <v>0</v>
      </c>
      <c r="J132" s="27">
        <f t="shared" si="140"/>
        <v>4075.3</v>
      </c>
      <c r="K132" s="27">
        <f t="shared" si="140"/>
        <v>7689.8</v>
      </c>
      <c r="L132" s="27">
        <f t="shared" si="140"/>
        <v>4075.3</v>
      </c>
      <c r="M132" s="27">
        <f t="shared" si="140"/>
        <v>3906.1</v>
      </c>
      <c r="N132" s="27">
        <f t="shared" si="140"/>
        <v>4075.3</v>
      </c>
      <c r="O132" s="27">
        <f t="shared" si="140"/>
        <v>3866.6</v>
      </c>
      <c r="P132" s="27">
        <f t="shared" si="140"/>
        <v>16301</v>
      </c>
      <c r="Q132" s="27">
        <f t="shared" si="140"/>
        <v>7360.4</v>
      </c>
      <c r="R132" s="27">
        <f t="shared" si="140"/>
        <v>0</v>
      </c>
      <c r="S132" s="27">
        <f t="shared" si="140"/>
        <v>6694.3</v>
      </c>
      <c r="T132" s="27">
        <f t="shared" si="140"/>
        <v>0</v>
      </c>
      <c r="U132" s="27">
        <f t="shared" si="140"/>
        <v>0</v>
      </c>
      <c r="V132" s="27">
        <f t="shared" si="140"/>
        <v>1023.4</v>
      </c>
      <c r="W132" s="27">
        <f t="shared" si="140"/>
        <v>486.3</v>
      </c>
      <c r="X132" s="27">
        <f t="shared" si="140"/>
        <v>4075.3</v>
      </c>
      <c r="Y132" s="27">
        <f t="shared" si="140"/>
        <v>4554.0999999999995</v>
      </c>
      <c r="Z132" s="27">
        <f t="shared" si="140"/>
        <v>4075.2</v>
      </c>
      <c r="AA132" s="27">
        <f t="shared" si="140"/>
        <v>3964.8</v>
      </c>
      <c r="AB132" s="27">
        <f t="shared" si="140"/>
        <v>4075.2</v>
      </c>
      <c r="AC132" s="27">
        <f t="shared" si="140"/>
        <v>0</v>
      </c>
      <c r="AD132" s="27">
        <f t="shared" si="140"/>
        <v>4075.2</v>
      </c>
      <c r="AE132" s="27">
        <f t="shared" si="140"/>
        <v>0</v>
      </c>
      <c r="AF132" s="45"/>
      <c r="AG132" s="15"/>
      <c r="AH132" s="15"/>
      <c r="AI132" s="15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</row>
    <row r="133" spans="1:62" ht="18.75" x14ac:dyDescent="0.3">
      <c r="A133" s="19" t="s">
        <v>31</v>
      </c>
      <c r="B133" s="20">
        <f t="shared" si="138"/>
        <v>22099.33</v>
      </c>
      <c r="C133" s="27">
        <f t="shared" si="139"/>
        <v>18995.830000000002</v>
      </c>
      <c r="D133" s="27">
        <f t="shared" si="139"/>
        <v>18661</v>
      </c>
      <c r="E133" s="27">
        <f t="shared" si="139"/>
        <v>18661</v>
      </c>
      <c r="F133" s="21">
        <f t="shared" si="135"/>
        <v>84.44147401753807</v>
      </c>
      <c r="G133" s="21">
        <f t="shared" si="136"/>
        <v>98.237349986812887</v>
      </c>
      <c r="H133" s="27">
        <f t="shared" si="140"/>
        <v>0</v>
      </c>
      <c r="I133" s="27">
        <f t="shared" si="140"/>
        <v>0</v>
      </c>
      <c r="J133" s="27">
        <f t="shared" si="140"/>
        <v>6025</v>
      </c>
      <c r="K133" s="27">
        <f t="shared" si="140"/>
        <v>2301.8000000000002</v>
      </c>
      <c r="L133" s="27">
        <f t="shared" si="140"/>
        <v>0</v>
      </c>
      <c r="M133" s="27">
        <f t="shared" si="140"/>
        <v>3413.6</v>
      </c>
      <c r="N133" s="27">
        <f t="shared" si="140"/>
        <v>4000</v>
      </c>
      <c r="O133" s="27">
        <f t="shared" si="140"/>
        <v>4000</v>
      </c>
      <c r="P133" s="27">
        <f t="shared" si="140"/>
        <v>0</v>
      </c>
      <c r="Q133" s="27">
        <f t="shared" si="140"/>
        <v>0</v>
      </c>
      <c r="R133" s="27">
        <f t="shared" si="140"/>
        <v>1970.23</v>
      </c>
      <c r="S133" s="27">
        <f t="shared" si="140"/>
        <v>1867.3</v>
      </c>
      <c r="T133" s="27">
        <f t="shared" si="140"/>
        <v>1000</v>
      </c>
      <c r="U133" s="27">
        <f t="shared" si="140"/>
        <v>0</v>
      </c>
      <c r="V133" s="27">
        <f t="shared" si="140"/>
        <v>0</v>
      </c>
      <c r="W133" s="27">
        <f t="shared" si="140"/>
        <v>0</v>
      </c>
      <c r="X133" s="27">
        <f t="shared" si="140"/>
        <v>0</v>
      </c>
      <c r="Y133" s="27">
        <f t="shared" si="140"/>
        <v>768.1</v>
      </c>
      <c r="Z133" s="27">
        <f t="shared" si="140"/>
        <v>6000.6</v>
      </c>
      <c r="AA133" s="27">
        <f t="shared" si="140"/>
        <v>6310.2</v>
      </c>
      <c r="AB133" s="27">
        <f t="shared" si="140"/>
        <v>103.5</v>
      </c>
      <c r="AC133" s="27">
        <f t="shared" si="140"/>
        <v>0</v>
      </c>
      <c r="AD133" s="27">
        <f t="shared" si="140"/>
        <v>3000</v>
      </c>
      <c r="AE133" s="27">
        <f t="shared" si="140"/>
        <v>0</v>
      </c>
      <c r="AF133" s="45"/>
      <c r="AG133" s="15"/>
      <c r="AH133" s="15"/>
      <c r="AI133" s="15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</row>
    <row r="134" spans="1:62" ht="20.25" x14ac:dyDescent="0.25">
      <c r="A134" s="108" t="s">
        <v>54</v>
      </c>
      <c r="B134" s="109">
        <f>H134+J134+L134+N134+P134+R134+T134+V134+X134+Z134+AB134+AD134</f>
        <v>0</v>
      </c>
      <c r="C134" s="109">
        <f>C136</f>
        <v>0</v>
      </c>
      <c r="D134" s="109">
        <f>D136</f>
        <v>0</v>
      </c>
      <c r="E134" s="109">
        <f>E136</f>
        <v>0</v>
      </c>
      <c r="F134" s="109"/>
      <c r="G134" s="109"/>
      <c r="H134" s="109">
        <f>H136</f>
        <v>0</v>
      </c>
      <c r="I134" s="109">
        <f>I136</f>
        <v>0</v>
      </c>
      <c r="J134" s="109">
        <f t="shared" ref="J134:AD134" si="141">J136</f>
        <v>0</v>
      </c>
      <c r="K134" s="109">
        <f>K136</f>
        <v>0</v>
      </c>
      <c r="L134" s="109">
        <f t="shared" si="141"/>
        <v>0</v>
      </c>
      <c r="M134" s="109">
        <f>M136</f>
        <v>0</v>
      </c>
      <c r="N134" s="109">
        <f t="shared" si="141"/>
        <v>0</v>
      </c>
      <c r="O134" s="109">
        <f>O136</f>
        <v>0</v>
      </c>
      <c r="P134" s="109">
        <f t="shared" si="141"/>
        <v>0</v>
      </c>
      <c r="Q134" s="109">
        <f>Q136</f>
        <v>0</v>
      </c>
      <c r="R134" s="109">
        <f t="shared" si="141"/>
        <v>0</v>
      </c>
      <c r="S134" s="109">
        <f>S136</f>
        <v>0</v>
      </c>
      <c r="T134" s="109">
        <f t="shared" si="141"/>
        <v>0</v>
      </c>
      <c r="U134" s="109">
        <f>U136</f>
        <v>0</v>
      </c>
      <c r="V134" s="109">
        <f t="shared" si="141"/>
        <v>0</v>
      </c>
      <c r="W134" s="109">
        <f>W136</f>
        <v>0</v>
      </c>
      <c r="X134" s="109">
        <f t="shared" si="141"/>
        <v>0</v>
      </c>
      <c r="Y134" s="109">
        <f>Y136</f>
        <v>0</v>
      </c>
      <c r="Z134" s="109">
        <f t="shared" si="141"/>
        <v>0</v>
      </c>
      <c r="AA134" s="109">
        <f>AA136</f>
        <v>0</v>
      </c>
      <c r="AB134" s="109">
        <f t="shared" si="141"/>
        <v>0</v>
      </c>
      <c r="AC134" s="109">
        <f>AC136</f>
        <v>0</v>
      </c>
      <c r="AD134" s="110">
        <f t="shared" si="141"/>
        <v>0</v>
      </c>
      <c r="AE134" s="13">
        <f>AE136</f>
        <v>0</v>
      </c>
      <c r="AF134" s="36"/>
      <c r="AG134" s="15"/>
      <c r="AH134" s="15"/>
      <c r="AI134" s="15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</row>
    <row r="135" spans="1:62" ht="20.25" x14ac:dyDescent="0.25">
      <c r="A135" s="108" t="s">
        <v>55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10"/>
      <c r="AF135" s="36"/>
      <c r="AG135" s="15"/>
      <c r="AH135" s="15"/>
      <c r="AI135" s="15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</row>
    <row r="136" spans="1:62" ht="18.75" x14ac:dyDescent="0.3">
      <c r="A136" s="19" t="s">
        <v>27</v>
      </c>
      <c r="B136" s="13">
        <f>H136+J136+L136+N136+P136+R136+T136+V136+X136+Z136+AB136+AD136</f>
        <v>0</v>
      </c>
      <c r="C136" s="13">
        <f>SUM(C137:C140)</f>
        <v>0</v>
      </c>
      <c r="D136" s="13">
        <f t="shared" ref="D136:E136" si="142">SUM(D137:D140)</f>
        <v>0</v>
      </c>
      <c r="E136" s="13">
        <f t="shared" si="142"/>
        <v>0</v>
      </c>
      <c r="F136" s="21" t="e">
        <f>E136/B136*100</f>
        <v>#DIV/0!</v>
      </c>
      <c r="G136" s="21" t="e">
        <f>E136/C136*100</f>
        <v>#DIV/0!</v>
      </c>
      <c r="H136" s="13">
        <f>SUM(H137:H140)</f>
        <v>0</v>
      </c>
      <c r="I136" s="13">
        <f t="shared" ref="I136:AE136" si="143">SUM(I137:I140)</f>
        <v>0</v>
      </c>
      <c r="J136" s="13">
        <f t="shared" si="143"/>
        <v>0</v>
      </c>
      <c r="K136" s="13">
        <f t="shared" si="143"/>
        <v>0</v>
      </c>
      <c r="L136" s="13">
        <f t="shared" si="143"/>
        <v>0</v>
      </c>
      <c r="M136" s="13">
        <f t="shared" si="143"/>
        <v>0</v>
      </c>
      <c r="N136" s="13">
        <f t="shared" si="143"/>
        <v>0</v>
      </c>
      <c r="O136" s="13">
        <f t="shared" si="143"/>
        <v>0</v>
      </c>
      <c r="P136" s="13">
        <f t="shared" si="143"/>
        <v>0</v>
      </c>
      <c r="Q136" s="13">
        <f t="shared" si="143"/>
        <v>0</v>
      </c>
      <c r="R136" s="13">
        <f t="shared" si="143"/>
        <v>0</v>
      </c>
      <c r="S136" s="13">
        <f t="shared" si="143"/>
        <v>0</v>
      </c>
      <c r="T136" s="13">
        <f t="shared" si="143"/>
        <v>0</v>
      </c>
      <c r="U136" s="13">
        <f t="shared" si="143"/>
        <v>0</v>
      </c>
      <c r="V136" s="13">
        <f t="shared" si="143"/>
        <v>0</v>
      </c>
      <c r="W136" s="13">
        <f t="shared" si="143"/>
        <v>0</v>
      </c>
      <c r="X136" s="13">
        <f t="shared" si="143"/>
        <v>0</v>
      </c>
      <c r="Y136" s="13">
        <f t="shared" si="143"/>
        <v>0</v>
      </c>
      <c r="Z136" s="13">
        <f t="shared" si="143"/>
        <v>0</v>
      </c>
      <c r="AA136" s="13">
        <f t="shared" si="143"/>
        <v>0</v>
      </c>
      <c r="AB136" s="13">
        <f t="shared" si="143"/>
        <v>0</v>
      </c>
      <c r="AC136" s="13">
        <f t="shared" si="143"/>
        <v>0</v>
      </c>
      <c r="AD136" s="13">
        <f t="shared" si="143"/>
        <v>0</v>
      </c>
      <c r="AE136" s="13">
        <f t="shared" si="143"/>
        <v>0</v>
      </c>
      <c r="AF136" s="36"/>
      <c r="AG136" s="15"/>
      <c r="AH136" s="15"/>
      <c r="AI136" s="15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</row>
    <row r="137" spans="1:62" ht="18.75" x14ac:dyDescent="0.3">
      <c r="A137" s="22" t="s">
        <v>28</v>
      </c>
      <c r="B137" s="23">
        <f t="shared" ref="B137:B140" si="144">H137+J137+L137+N137+P137+R137+T137+V137+X137+Z137+AB137+AD137</f>
        <v>0</v>
      </c>
      <c r="C137" s="23">
        <f>H137</f>
        <v>0</v>
      </c>
      <c r="D137" s="23">
        <f>D143</f>
        <v>0</v>
      </c>
      <c r="E137" s="23">
        <f>I137+K137+M137+O137+Q137+S137+U137+W137+Y137+AA137+AC137+AE137</f>
        <v>0</v>
      </c>
      <c r="F137" s="24" t="e">
        <f t="shared" ref="F137:F140" si="145">E137/B137*100</f>
        <v>#DIV/0!</v>
      </c>
      <c r="G137" s="24" t="e">
        <f t="shared" ref="G137:G140" si="146">E137/C137*100</f>
        <v>#DIV/0!</v>
      </c>
      <c r="H137" s="23">
        <f>H143</f>
        <v>0</v>
      </c>
      <c r="I137" s="23">
        <f t="shared" ref="I137:AE140" si="147">I143</f>
        <v>0</v>
      </c>
      <c r="J137" s="23">
        <f t="shared" si="147"/>
        <v>0</v>
      </c>
      <c r="K137" s="23">
        <f t="shared" si="147"/>
        <v>0</v>
      </c>
      <c r="L137" s="23">
        <f t="shared" si="147"/>
        <v>0</v>
      </c>
      <c r="M137" s="23">
        <f t="shared" si="147"/>
        <v>0</v>
      </c>
      <c r="N137" s="23">
        <f t="shared" si="147"/>
        <v>0</v>
      </c>
      <c r="O137" s="23">
        <f t="shared" si="147"/>
        <v>0</v>
      </c>
      <c r="P137" s="23">
        <f t="shared" si="147"/>
        <v>0</v>
      </c>
      <c r="Q137" s="23">
        <f t="shared" si="147"/>
        <v>0</v>
      </c>
      <c r="R137" s="23">
        <f t="shared" si="147"/>
        <v>0</v>
      </c>
      <c r="S137" s="23">
        <f t="shared" si="147"/>
        <v>0</v>
      </c>
      <c r="T137" s="23">
        <f t="shared" si="147"/>
        <v>0</v>
      </c>
      <c r="U137" s="23">
        <f t="shared" si="147"/>
        <v>0</v>
      </c>
      <c r="V137" s="23">
        <f t="shared" si="147"/>
        <v>0</v>
      </c>
      <c r="W137" s="23">
        <f t="shared" si="147"/>
        <v>0</v>
      </c>
      <c r="X137" s="23">
        <f t="shared" si="147"/>
        <v>0</v>
      </c>
      <c r="Y137" s="23">
        <f t="shared" si="147"/>
        <v>0</v>
      </c>
      <c r="Z137" s="23">
        <f t="shared" si="147"/>
        <v>0</v>
      </c>
      <c r="AA137" s="23">
        <f t="shared" si="147"/>
        <v>0</v>
      </c>
      <c r="AB137" s="23">
        <f t="shared" si="147"/>
        <v>0</v>
      </c>
      <c r="AC137" s="23">
        <f t="shared" si="147"/>
        <v>0</v>
      </c>
      <c r="AD137" s="23">
        <f t="shared" si="147"/>
        <v>0</v>
      </c>
      <c r="AE137" s="23">
        <f t="shared" si="147"/>
        <v>0</v>
      </c>
      <c r="AF137" s="36"/>
      <c r="AG137" s="15"/>
      <c r="AH137" s="15"/>
      <c r="AI137" s="15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</row>
    <row r="138" spans="1:62" ht="18.75" x14ac:dyDescent="0.3">
      <c r="A138" s="22" t="s">
        <v>29</v>
      </c>
      <c r="B138" s="23">
        <f t="shared" si="144"/>
        <v>0</v>
      </c>
      <c r="C138" s="23">
        <f t="shared" ref="C138:C140" si="148">H138</f>
        <v>0</v>
      </c>
      <c r="D138" s="23">
        <f t="shared" ref="D138:D140" si="149">D144</f>
        <v>0</v>
      </c>
      <c r="E138" s="23">
        <f t="shared" ref="E138:E140" si="150">I138+K138+M138+O138+Q138+S138+U138+W138+Y138+AA138+AC138+AE138</f>
        <v>0</v>
      </c>
      <c r="F138" s="24" t="e">
        <f t="shared" si="145"/>
        <v>#DIV/0!</v>
      </c>
      <c r="G138" s="24" t="e">
        <f t="shared" si="146"/>
        <v>#DIV/0!</v>
      </c>
      <c r="H138" s="23">
        <f t="shared" ref="H138:W140" si="151">H144</f>
        <v>0</v>
      </c>
      <c r="I138" s="23">
        <f t="shared" si="151"/>
        <v>0</v>
      </c>
      <c r="J138" s="23">
        <f t="shared" si="151"/>
        <v>0</v>
      </c>
      <c r="K138" s="23">
        <f t="shared" si="151"/>
        <v>0</v>
      </c>
      <c r="L138" s="23">
        <f t="shared" si="151"/>
        <v>0</v>
      </c>
      <c r="M138" s="23">
        <f t="shared" si="151"/>
        <v>0</v>
      </c>
      <c r="N138" s="23">
        <f t="shared" si="151"/>
        <v>0</v>
      </c>
      <c r="O138" s="23">
        <f t="shared" si="151"/>
        <v>0</v>
      </c>
      <c r="P138" s="23">
        <f t="shared" si="151"/>
        <v>0</v>
      </c>
      <c r="Q138" s="23">
        <f t="shared" si="151"/>
        <v>0</v>
      </c>
      <c r="R138" s="23">
        <f t="shared" si="151"/>
        <v>0</v>
      </c>
      <c r="S138" s="23">
        <f t="shared" si="151"/>
        <v>0</v>
      </c>
      <c r="T138" s="23">
        <f t="shared" si="151"/>
        <v>0</v>
      </c>
      <c r="U138" s="23">
        <f t="shared" si="151"/>
        <v>0</v>
      </c>
      <c r="V138" s="23">
        <f t="shared" si="151"/>
        <v>0</v>
      </c>
      <c r="W138" s="23">
        <f t="shared" si="151"/>
        <v>0</v>
      </c>
      <c r="X138" s="23">
        <f t="shared" si="147"/>
        <v>0</v>
      </c>
      <c r="Y138" s="23">
        <f t="shared" si="147"/>
        <v>0</v>
      </c>
      <c r="Z138" s="23">
        <f t="shared" si="147"/>
        <v>0</v>
      </c>
      <c r="AA138" s="23">
        <f t="shared" si="147"/>
        <v>0</v>
      </c>
      <c r="AB138" s="23">
        <f t="shared" si="147"/>
        <v>0</v>
      </c>
      <c r="AC138" s="23">
        <f t="shared" si="147"/>
        <v>0</v>
      </c>
      <c r="AD138" s="23">
        <f t="shared" si="147"/>
        <v>0</v>
      </c>
      <c r="AE138" s="23">
        <f t="shared" si="147"/>
        <v>0</v>
      </c>
      <c r="AF138" s="36"/>
      <c r="AG138" s="15"/>
      <c r="AH138" s="15"/>
      <c r="AI138" s="15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</row>
    <row r="139" spans="1:62" ht="18.75" x14ac:dyDescent="0.3">
      <c r="A139" s="22" t="s">
        <v>30</v>
      </c>
      <c r="B139" s="23">
        <f t="shared" si="144"/>
        <v>0</v>
      </c>
      <c r="C139" s="23">
        <f t="shared" si="148"/>
        <v>0</v>
      </c>
      <c r="D139" s="23">
        <f t="shared" si="149"/>
        <v>0</v>
      </c>
      <c r="E139" s="23">
        <f t="shared" si="150"/>
        <v>0</v>
      </c>
      <c r="F139" s="24" t="e">
        <f t="shared" si="145"/>
        <v>#DIV/0!</v>
      </c>
      <c r="G139" s="24" t="e">
        <f t="shared" si="146"/>
        <v>#DIV/0!</v>
      </c>
      <c r="H139" s="23">
        <f t="shared" si="151"/>
        <v>0</v>
      </c>
      <c r="I139" s="23">
        <f t="shared" si="147"/>
        <v>0</v>
      </c>
      <c r="J139" s="23">
        <f t="shared" si="147"/>
        <v>0</v>
      </c>
      <c r="K139" s="23">
        <f t="shared" si="147"/>
        <v>0</v>
      </c>
      <c r="L139" s="23">
        <f t="shared" si="147"/>
        <v>0</v>
      </c>
      <c r="M139" s="23">
        <f t="shared" si="147"/>
        <v>0</v>
      </c>
      <c r="N139" s="23">
        <f t="shared" si="147"/>
        <v>0</v>
      </c>
      <c r="O139" s="23">
        <f t="shared" si="147"/>
        <v>0</v>
      </c>
      <c r="P139" s="23">
        <f t="shared" si="147"/>
        <v>0</v>
      </c>
      <c r="Q139" s="23">
        <f t="shared" si="147"/>
        <v>0</v>
      </c>
      <c r="R139" s="23">
        <f t="shared" si="147"/>
        <v>0</v>
      </c>
      <c r="S139" s="23">
        <f t="shared" si="147"/>
        <v>0</v>
      </c>
      <c r="T139" s="23">
        <f t="shared" si="147"/>
        <v>0</v>
      </c>
      <c r="U139" s="23">
        <f t="shared" si="147"/>
        <v>0</v>
      </c>
      <c r="V139" s="23">
        <f t="shared" si="147"/>
        <v>0</v>
      </c>
      <c r="W139" s="23">
        <f t="shared" si="147"/>
        <v>0</v>
      </c>
      <c r="X139" s="23">
        <f t="shared" si="147"/>
        <v>0</v>
      </c>
      <c r="Y139" s="23">
        <f t="shared" si="147"/>
        <v>0</v>
      </c>
      <c r="Z139" s="23">
        <f t="shared" si="147"/>
        <v>0</v>
      </c>
      <c r="AA139" s="23">
        <f t="shared" si="147"/>
        <v>0</v>
      </c>
      <c r="AB139" s="23">
        <f t="shared" si="147"/>
        <v>0</v>
      </c>
      <c r="AC139" s="23">
        <f t="shared" si="147"/>
        <v>0</v>
      </c>
      <c r="AD139" s="23">
        <f t="shared" si="147"/>
        <v>0</v>
      </c>
      <c r="AE139" s="23">
        <f t="shared" si="147"/>
        <v>0</v>
      </c>
      <c r="AF139" s="36"/>
      <c r="AG139" s="15"/>
      <c r="AH139" s="15"/>
      <c r="AI139" s="15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</row>
    <row r="140" spans="1:62" ht="18.75" x14ac:dyDescent="0.3">
      <c r="A140" s="22" t="s">
        <v>31</v>
      </c>
      <c r="B140" s="23">
        <f t="shared" si="144"/>
        <v>0</v>
      </c>
      <c r="C140" s="23">
        <f t="shared" si="148"/>
        <v>0</v>
      </c>
      <c r="D140" s="23">
        <f t="shared" si="149"/>
        <v>0</v>
      </c>
      <c r="E140" s="23">
        <f t="shared" si="150"/>
        <v>0</v>
      </c>
      <c r="F140" s="24" t="e">
        <f t="shared" si="145"/>
        <v>#DIV/0!</v>
      </c>
      <c r="G140" s="24" t="e">
        <f t="shared" si="146"/>
        <v>#DIV/0!</v>
      </c>
      <c r="H140" s="23">
        <f t="shared" si="151"/>
        <v>0</v>
      </c>
      <c r="I140" s="23">
        <f t="shared" si="147"/>
        <v>0</v>
      </c>
      <c r="J140" s="23">
        <f t="shared" si="147"/>
        <v>0</v>
      </c>
      <c r="K140" s="23">
        <f t="shared" si="147"/>
        <v>0</v>
      </c>
      <c r="L140" s="23">
        <f t="shared" si="147"/>
        <v>0</v>
      </c>
      <c r="M140" s="23">
        <f t="shared" si="147"/>
        <v>0</v>
      </c>
      <c r="N140" s="23">
        <f t="shared" si="147"/>
        <v>0</v>
      </c>
      <c r="O140" s="23">
        <f t="shared" si="147"/>
        <v>0</v>
      </c>
      <c r="P140" s="23">
        <f t="shared" si="147"/>
        <v>0</v>
      </c>
      <c r="Q140" s="23">
        <f t="shared" si="147"/>
        <v>0</v>
      </c>
      <c r="R140" s="23">
        <f t="shared" si="147"/>
        <v>0</v>
      </c>
      <c r="S140" s="23">
        <f t="shared" si="147"/>
        <v>0</v>
      </c>
      <c r="T140" s="23">
        <f t="shared" si="147"/>
        <v>0</v>
      </c>
      <c r="U140" s="23">
        <f t="shared" si="147"/>
        <v>0</v>
      </c>
      <c r="V140" s="23">
        <f t="shared" si="147"/>
        <v>0</v>
      </c>
      <c r="W140" s="23">
        <f t="shared" si="147"/>
        <v>0</v>
      </c>
      <c r="X140" s="23">
        <f t="shared" si="147"/>
        <v>0</v>
      </c>
      <c r="Y140" s="23">
        <f t="shared" si="147"/>
        <v>0</v>
      </c>
      <c r="Z140" s="23">
        <f t="shared" si="147"/>
        <v>0</v>
      </c>
      <c r="AA140" s="23">
        <f t="shared" si="147"/>
        <v>0</v>
      </c>
      <c r="AB140" s="23">
        <f t="shared" si="147"/>
        <v>0</v>
      </c>
      <c r="AC140" s="23">
        <f t="shared" si="147"/>
        <v>0</v>
      </c>
      <c r="AD140" s="23">
        <f t="shared" si="147"/>
        <v>0</v>
      </c>
      <c r="AE140" s="23">
        <f t="shared" si="147"/>
        <v>0</v>
      </c>
      <c r="AF140" s="36"/>
      <c r="AG140" s="15"/>
      <c r="AH140" s="15"/>
      <c r="AI140" s="15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</row>
    <row r="141" spans="1:62" ht="18.75" x14ac:dyDescent="0.25">
      <c r="A141" s="105" t="s">
        <v>56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7"/>
      <c r="AF141" s="36"/>
      <c r="AG141" s="15"/>
      <c r="AH141" s="15"/>
      <c r="AI141" s="15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</row>
    <row r="142" spans="1:62" ht="18.75" x14ac:dyDescent="0.3">
      <c r="A142" s="19" t="s">
        <v>27</v>
      </c>
      <c r="B142" s="27">
        <f>H142+J142+L142+N142+P142+R142+T142+V142+X142+Z142+AB142+AD142</f>
        <v>0</v>
      </c>
      <c r="C142" s="20">
        <f>SUM(C143:C146)</f>
        <v>0</v>
      </c>
      <c r="D142" s="20">
        <f t="shared" ref="D142:E142" si="152">SUM(D143:D146)</f>
        <v>0</v>
      </c>
      <c r="E142" s="20">
        <f t="shared" si="152"/>
        <v>0</v>
      </c>
      <c r="F142" s="21" t="e">
        <f>E142/B142*100</f>
        <v>#DIV/0!</v>
      </c>
      <c r="G142" s="21" t="e">
        <f>E142/C142*100</f>
        <v>#DIV/0!</v>
      </c>
      <c r="H142" s="13">
        <f t="shared" ref="H142:AE142" si="153">H143+H144+H145+H146</f>
        <v>0</v>
      </c>
      <c r="I142" s="13">
        <f t="shared" si="153"/>
        <v>0</v>
      </c>
      <c r="J142" s="13">
        <f t="shared" si="153"/>
        <v>0</v>
      </c>
      <c r="K142" s="13">
        <f t="shared" si="153"/>
        <v>0</v>
      </c>
      <c r="L142" s="13">
        <f t="shared" si="153"/>
        <v>0</v>
      </c>
      <c r="M142" s="13">
        <f t="shared" si="153"/>
        <v>0</v>
      </c>
      <c r="N142" s="13">
        <f t="shared" si="153"/>
        <v>0</v>
      </c>
      <c r="O142" s="13">
        <f t="shared" si="153"/>
        <v>0</v>
      </c>
      <c r="P142" s="13">
        <f t="shared" si="153"/>
        <v>0</v>
      </c>
      <c r="Q142" s="13">
        <f t="shared" si="153"/>
        <v>0</v>
      </c>
      <c r="R142" s="13">
        <f t="shared" si="153"/>
        <v>0</v>
      </c>
      <c r="S142" s="13">
        <f t="shared" si="153"/>
        <v>0</v>
      </c>
      <c r="T142" s="13">
        <f t="shared" si="153"/>
        <v>0</v>
      </c>
      <c r="U142" s="13">
        <f t="shared" si="153"/>
        <v>0</v>
      </c>
      <c r="V142" s="13">
        <f t="shared" si="153"/>
        <v>0</v>
      </c>
      <c r="W142" s="13">
        <f t="shared" si="153"/>
        <v>0</v>
      </c>
      <c r="X142" s="13">
        <f t="shared" si="153"/>
        <v>0</v>
      </c>
      <c r="Y142" s="13">
        <f t="shared" si="153"/>
        <v>0</v>
      </c>
      <c r="Z142" s="13">
        <f t="shared" si="153"/>
        <v>0</v>
      </c>
      <c r="AA142" s="13">
        <f t="shared" si="153"/>
        <v>0</v>
      </c>
      <c r="AB142" s="13">
        <f t="shared" si="153"/>
        <v>0</v>
      </c>
      <c r="AC142" s="13">
        <f t="shared" si="153"/>
        <v>0</v>
      </c>
      <c r="AD142" s="13">
        <f t="shared" si="153"/>
        <v>0</v>
      </c>
      <c r="AE142" s="13">
        <f t="shared" si="153"/>
        <v>0</v>
      </c>
      <c r="AF142" s="36"/>
      <c r="AG142" s="15"/>
      <c r="AH142" s="15"/>
      <c r="AI142" s="15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</row>
    <row r="143" spans="1:62" ht="18.75" x14ac:dyDescent="0.3">
      <c r="A143" s="22" t="s">
        <v>28</v>
      </c>
      <c r="B143" s="28">
        <f>H143+J143+L143+N143+P143+R143+T143+V143+X143+Z143+AB143+AD143</f>
        <v>0</v>
      </c>
      <c r="C143" s="28">
        <f>H143</f>
        <v>0</v>
      </c>
      <c r="D143" s="29"/>
      <c r="E143" s="29">
        <f>I143+K143+M143+O143+Q143+S143+U143+W143+Y143+AA143+AC143+AE143</f>
        <v>0</v>
      </c>
      <c r="F143" s="24" t="e">
        <f t="shared" ref="F143:F146" si="154">E143/B143*100</f>
        <v>#DIV/0!</v>
      </c>
      <c r="G143" s="24" t="e">
        <f t="shared" ref="G143:G146" si="155">E143/C143*100</f>
        <v>#DIV/0!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36"/>
      <c r="AG143" s="15"/>
      <c r="AH143" s="15"/>
      <c r="AI143" s="15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</row>
    <row r="144" spans="1:62" ht="18.75" x14ac:dyDescent="0.3">
      <c r="A144" s="22" t="s">
        <v>29</v>
      </c>
      <c r="B144" s="28">
        <f t="shared" ref="B144:B146" si="156">H144+J144+L144+N144+P144+R144+T144+V144+X144+Z144+AB144+AD144</f>
        <v>0</v>
      </c>
      <c r="C144" s="28">
        <f t="shared" ref="C144:C146" si="157">H144</f>
        <v>0</v>
      </c>
      <c r="D144" s="28"/>
      <c r="E144" s="29">
        <f t="shared" ref="E144:E146" si="158">I144+K144+M144+O144+Q144+S144+U144+W144+Y144+AA144+AC144+AE144</f>
        <v>0</v>
      </c>
      <c r="F144" s="24" t="e">
        <f t="shared" si="154"/>
        <v>#DIV/0!</v>
      </c>
      <c r="G144" s="24" t="e">
        <f t="shared" si="155"/>
        <v>#DIV/0!</v>
      </c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36"/>
      <c r="AG144" s="15"/>
      <c r="AH144" s="15"/>
      <c r="AI144" s="15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</row>
    <row r="145" spans="1:62" ht="18.75" x14ac:dyDescent="0.3">
      <c r="A145" s="22" t="s">
        <v>30</v>
      </c>
      <c r="B145" s="28">
        <f t="shared" si="156"/>
        <v>0</v>
      </c>
      <c r="C145" s="28">
        <f t="shared" si="157"/>
        <v>0</v>
      </c>
      <c r="D145" s="29"/>
      <c r="E145" s="29">
        <f t="shared" si="158"/>
        <v>0</v>
      </c>
      <c r="F145" s="24" t="e">
        <f t="shared" si="154"/>
        <v>#DIV/0!</v>
      </c>
      <c r="G145" s="24" t="e">
        <f t="shared" si="155"/>
        <v>#DIV/0!</v>
      </c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6"/>
      <c r="AG145" s="15"/>
      <c r="AH145" s="15"/>
      <c r="AI145" s="15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</row>
    <row r="146" spans="1:62" ht="18.75" x14ac:dyDescent="0.3">
      <c r="A146" s="22" t="s">
        <v>31</v>
      </c>
      <c r="B146" s="28">
        <f t="shared" si="156"/>
        <v>0</v>
      </c>
      <c r="C146" s="28">
        <f t="shared" si="157"/>
        <v>0</v>
      </c>
      <c r="D146" s="29"/>
      <c r="E146" s="29">
        <f t="shared" si="158"/>
        <v>0</v>
      </c>
      <c r="F146" s="24" t="e">
        <f t="shared" si="154"/>
        <v>#DIV/0!</v>
      </c>
      <c r="G146" s="24" t="e">
        <f t="shared" si="155"/>
        <v>#DIV/0!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6"/>
      <c r="AG146" s="15"/>
      <c r="AH146" s="15"/>
      <c r="AI146" s="15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</row>
    <row r="147" spans="1:62" ht="20.25" x14ac:dyDescent="0.25">
      <c r="A147" s="108" t="s">
        <v>57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10"/>
      <c r="AE147" s="13"/>
      <c r="AF147" s="36"/>
      <c r="AG147" s="15"/>
      <c r="AH147" s="15"/>
      <c r="AI147" s="15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</row>
    <row r="148" spans="1:62" ht="20.25" x14ac:dyDescent="0.25">
      <c r="A148" s="108" t="s">
        <v>58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10"/>
      <c r="AF148" s="36"/>
      <c r="AG148" s="15"/>
      <c r="AH148" s="15"/>
      <c r="AI148" s="15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</row>
    <row r="149" spans="1:62" ht="18.75" x14ac:dyDescent="0.3">
      <c r="A149" s="19" t="s">
        <v>27</v>
      </c>
      <c r="B149" s="27">
        <f>H149+J149+L149+N149+P149+R149+T149+V149+X149+Z149+AB149+AD149</f>
        <v>2174.8000000000002</v>
      </c>
      <c r="C149" s="27">
        <f>SUM(C150:C153)</f>
        <v>2070.3000000000002</v>
      </c>
      <c r="D149" s="27">
        <f t="shared" ref="D149:E149" si="159">SUM(D150:D153)</f>
        <v>456.70000000000005</v>
      </c>
      <c r="E149" s="27">
        <f t="shared" si="159"/>
        <v>456.70000000000005</v>
      </c>
      <c r="F149" s="21">
        <f>E149/B149*100</f>
        <v>20.999632150082768</v>
      </c>
      <c r="G149" s="21">
        <f>E149/C149*100</f>
        <v>22.059604888180456</v>
      </c>
      <c r="H149" s="13">
        <f>SUM(H150:H153)</f>
        <v>0</v>
      </c>
      <c r="I149" s="13">
        <f t="shared" ref="I149:AE149" si="160">SUM(I150:I153)</f>
        <v>0</v>
      </c>
      <c r="J149" s="13">
        <f t="shared" si="160"/>
        <v>174</v>
      </c>
      <c r="K149" s="13">
        <f t="shared" si="160"/>
        <v>77.3</v>
      </c>
      <c r="L149" s="13">
        <f t="shared" si="160"/>
        <v>634.29999999999995</v>
      </c>
      <c r="M149" s="13">
        <f t="shared" si="160"/>
        <v>92.1</v>
      </c>
      <c r="N149" s="13">
        <f t="shared" si="160"/>
        <v>11.7</v>
      </c>
      <c r="O149" s="13">
        <f t="shared" si="160"/>
        <v>186.3</v>
      </c>
      <c r="P149" s="13">
        <f t="shared" si="160"/>
        <v>164.6</v>
      </c>
      <c r="Q149" s="13">
        <f t="shared" si="160"/>
        <v>31.7</v>
      </c>
      <c r="R149" s="13">
        <f t="shared" si="160"/>
        <v>0</v>
      </c>
      <c r="S149" s="13">
        <f t="shared" si="160"/>
        <v>0</v>
      </c>
      <c r="T149" s="13">
        <f t="shared" si="160"/>
        <v>227.7</v>
      </c>
      <c r="U149" s="13">
        <f t="shared" si="160"/>
        <v>0</v>
      </c>
      <c r="V149" s="13">
        <f t="shared" si="160"/>
        <v>0</v>
      </c>
      <c r="W149" s="13">
        <f t="shared" si="160"/>
        <v>0</v>
      </c>
      <c r="X149" s="13">
        <f t="shared" si="160"/>
        <v>59.5</v>
      </c>
      <c r="Y149" s="13">
        <f t="shared" si="160"/>
        <v>0</v>
      </c>
      <c r="Z149" s="13">
        <f t="shared" si="160"/>
        <v>858</v>
      </c>
      <c r="AA149" s="13">
        <f t="shared" si="160"/>
        <v>69.299999999999983</v>
      </c>
      <c r="AB149" s="13">
        <f t="shared" si="160"/>
        <v>45</v>
      </c>
      <c r="AC149" s="13">
        <f t="shared" si="160"/>
        <v>0</v>
      </c>
      <c r="AD149" s="13">
        <f t="shared" si="160"/>
        <v>0</v>
      </c>
      <c r="AE149" s="13">
        <f t="shared" si="160"/>
        <v>0</v>
      </c>
      <c r="AF149" s="36"/>
      <c r="AG149" s="15"/>
      <c r="AH149" s="15"/>
      <c r="AI149" s="15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</row>
    <row r="150" spans="1:62" ht="18.75" x14ac:dyDescent="0.3">
      <c r="A150" s="22" t="s">
        <v>28</v>
      </c>
      <c r="B150" s="28">
        <f>H150+J150+L150+N150+P150+R150+T150+V150+X150+Z150+AB150+AD150</f>
        <v>0</v>
      </c>
      <c r="C150" s="29">
        <f t="shared" ref="C150:E150" si="161">C156+C162</f>
        <v>0</v>
      </c>
      <c r="D150" s="29">
        <f t="shared" si="161"/>
        <v>0</v>
      </c>
      <c r="E150" s="29">
        <f t="shared" si="161"/>
        <v>0</v>
      </c>
      <c r="F150" s="24" t="e">
        <f>E150/B150*100</f>
        <v>#DIV/0!</v>
      </c>
      <c r="G150" s="24" t="e">
        <f>E150/C150*100</f>
        <v>#DIV/0!</v>
      </c>
      <c r="H150" s="23">
        <f>H156+H162</f>
        <v>0</v>
      </c>
      <c r="I150" s="23">
        <f t="shared" ref="I150:AE153" si="162">I156+I162</f>
        <v>0</v>
      </c>
      <c r="J150" s="23">
        <f t="shared" si="162"/>
        <v>0</v>
      </c>
      <c r="K150" s="23">
        <f t="shared" si="162"/>
        <v>0</v>
      </c>
      <c r="L150" s="23">
        <f t="shared" si="162"/>
        <v>0</v>
      </c>
      <c r="M150" s="23">
        <f t="shared" si="162"/>
        <v>0</v>
      </c>
      <c r="N150" s="23">
        <f t="shared" si="162"/>
        <v>0</v>
      </c>
      <c r="O150" s="23">
        <f t="shared" si="162"/>
        <v>0</v>
      </c>
      <c r="P150" s="23">
        <f t="shared" si="162"/>
        <v>0</v>
      </c>
      <c r="Q150" s="23">
        <f t="shared" si="162"/>
        <v>0</v>
      </c>
      <c r="R150" s="23">
        <f t="shared" si="162"/>
        <v>0</v>
      </c>
      <c r="S150" s="23">
        <f t="shared" si="162"/>
        <v>0</v>
      </c>
      <c r="T150" s="23">
        <f t="shared" si="162"/>
        <v>0</v>
      </c>
      <c r="U150" s="23">
        <f t="shared" si="162"/>
        <v>0</v>
      </c>
      <c r="V150" s="23">
        <f t="shared" si="162"/>
        <v>0</v>
      </c>
      <c r="W150" s="23">
        <f t="shared" si="162"/>
        <v>0</v>
      </c>
      <c r="X150" s="23">
        <f t="shared" si="162"/>
        <v>0</v>
      </c>
      <c r="Y150" s="23">
        <f t="shared" si="162"/>
        <v>0</v>
      </c>
      <c r="Z150" s="23">
        <f t="shared" si="162"/>
        <v>0</v>
      </c>
      <c r="AA150" s="23">
        <f t="shared" si="162"/>
        <v>0</v>
      </c>
      <c r="AB150" s="23">
        <f t="shared" si="162"/>
        <v>0</v>
      </c>
      <c r="AC150" s="23">
        <f t="shared" si="162"/>
        <v>0</v>
      </c>
      <c r="AD150" s="23">
        <f t="shared" si="162"/>
        <v>0</v>
      </c>
      <c r="AE150" s="23">
        <f t="shared" si="162"/>
        <v>0</v>
      </c>
      <c r="AF150" s="36"/>
      <c r="AG150" s="15"/>
      <c r="AH150" s="15"/>
      <c r="AI150" s="15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</row>
    <row r="151" spans="1:62" ht="18.75" x14ac:dyDescent="0.3">
      <c r="A151" s="22" t="s">
        <v>29</v>
      </c>
      <c r="B151" s="28">
        <f>H151+J151+L151+N151+P151+R151+T151+V151+X151+Z151+AB151+AD151</f>
        <v>2174.8000000000002</v>
      </c>
      <c r="C151" s="29">
        <f>C157+C163</f>
        <v>2070.3000000000002</v>
      </c>
      <c r="D151" s="29">
        <f>D157+D163</f>
        <v>456.70000000000005</v>
      </c>
      <c r="E151" s="29">
        <f>E157+E163</f>
        <v>456.70000000000005</v>
      </c>
      <c r="F151" s="24">
        <f>E151/B151*100</f>
        <v>20.999632150082768</v>
      </c>
      <c r="G151" s="24">
        <f>E151/C151*100</f>
        <v>22.059604888180456</v>
      </c>
      <c r="H151" s="23">
        <f>H157+H163</f>
        <v>0</v>
      </c>
      <c r="I151" s="23">
        <f t="shared" si="162"/>
        <v>0</v>
      </c>
      <c r="J151" s="23">
        <f t="shared" si="162"/>
        <v>174</v>
      </c>
      <c r="K151" s="23">
        <f t="shared" si="162"/>
        <v>77.3</v>
      </c>
      <c r="L151" s="23">
        <f t="shared" si="162"/>
        <v>634.29999999999995</v>
      </c>
      <c r="M151" s="23">
        <f t="shared" si="162"/>
        <v>92.1</v>
      </c>
      <c r="N151" s="23">
        <f t="shared" si="162"/>
        <v>11.7</v>
      </c>
      <c r="O151" s="23">
        <f t="shared" si="162"/>
        <v>186.3</v>
      </c>
      <c r="P151" s="23">
        <f t="shared" si="162"/>
        <v>164.6</v>
      </c>
      <c r="Q151" s="23">
        <f t="shared" si="162"/>
        <v>31.7</v>
      </c>
      <c r="R151" s="23">
        <f t="shared" si="162"/>
        <v>0</v>
      </c>
      <c r="S151" s="23">
        <f t="shared" si="162"/>
        <v>0</v>
      </c>
      <c r="T151" s="23">
        <f t="shared" si="162"/>
        <v>227.7</v>
      </c>
      <c r="U151" s="23">
        <f t="shared" si="162"/>
        <v>0</v>
      </c>
      <c r="V151" s="23">
        <f t="shared" si="162"/>
        <v>0</v>
      </c>
      <c r="W151" s="23">
        <f t="shared" si="162"/>
        <v>0</v>
      </c>
      <c r="X151" s="23">
        <f t="shared" si="162"/>
        <v>59.5</v>
      </c>
      <c r="Y151" s="23">
        <f t="shared" si="162"/>
        <v>0</v>
      </c>
      <c r="Z151" s="23">
        <f t="shared" si="162"/>
        <v>858</v>
      </c>
      <c r="AA151" s="23">
        <f t="shared" si="162"/>
        <v>69.299999999999983</v>
      </c>
      <c r="AB151" s="23">
        <f t="shared" si="162"/>
        <v>45</v>
      </c>
      <c r="AC151" s="23">
        <f t="shared" si="162"/>
        <v>0</v>
      </c>
      <c r="AD151" s="23">
        <f t="shared" si="162"/>
        <v>0</v>
      </c>
      <c r="AE151" s="23">
        <f t="shared" si="162"/>
        <v>0</v>
      </c>
      <c r="AF151" s="36"/>
      <c r="AG151" s="15"/>
      <c r="AH151" s="15"/>
      <c r="AI151" s="15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</row>
    <row r="152" spans="1:62" ht="18.75" x14ac:dyDescent="0.3">
      <c r="A152" s="22" t="s">
        <v>30</v>
      </c>
      <c r="B152" s="28">
        <f t="shared" ref="B152:B153" si="163">H152+J152+L152+N152+P152+R152+T152+V152+X152+Z152+AB152+AD152</f>
        <v>0</v>
      </c>
      <c r="C152" s="29">
        <f t="shared" ref="C152:E153" si="164">C158+C164</f>
        <v>0</v>
      </c>
      <c r="D152" s="29">
        <f t="shared" si="164"/>
        <v>0</v>
      </c>
      <c r="E152" s="29">
        <f t="shared" si="164"/>
        <v>0</v>
      </c>
      <c r="F152" s="24" t="e">
        <f t="shared" ref="F152:F153" si="165">E152/B152*100</f>
        <v>#DIV/0!</v>
      </c>
      <c r="G152" s="24" t="e">
        <f t="shared" ref="G152:G153" si="166">E152/C152*100</f>
        <v>#DIV/0!</v>
      </c>
      <c r="H152" s="23">
        <f t="shared" ref="H152:W153" si="167">H158+H164</f>
        <v>0</v>
      </c>
      <c r="I152" s="23">
        <f t="shared" si="167"/>
        <v>0</v>
      </c>
      <c r="J152" s="23">
        <f t="shared" si="167"/>
        <v>0</v>
      </c>
      <c r="K152" s="23">
        <f t="shared" si="167"/>
        <v>0</v>
      </c>
      <c r="L152" s="23">
        <f t="shared" si="167"/>
        <v>0</v>
      </c>
      <c r="M152" s="23">
        <f t="shared" si="167"/>
        <v>0</v>
      </c>
      <c r="N152" s="23">
        <f t="shared" si="167"/>
        <v>0</v>
      </c>
      <c r="O152" s="23">
        <f t="shared" si="167"/>
        <v>0</v>
      </c>
      <c r="P152" s="23">
        <f t="shared" si="167"/>
        <v>0</v>
      </c>
      <c r="Q152" s="23">
        <f t="shared" si="167"/>
        <v>0</v>
      </c>
      <c r="R152" s="23">
        <f t="shared" si="167"/>
        <v>0</v>
      </c>
      <c r="S152" s="23">
        <f t="shared" si="167"/>
        <v>0</v>
      </c>
      <c r="T152" s="23">
        <f t="shared" si="167"/>
        <v>0</v>
      </c>
      <c r="U152" s="23">
        <f t="shared" si="167"/>
        <v>0</v>
      </c>
      <c r="V152" s="23">
        <f t="shared" si="167"/>
        <v>0</v>
      </c>
      <c r="W152" s="23">
        <f t="shared" si="167"/>
        <v>0</v>
      </c>
      <c r="X152" s="23">
        <f t="shared" si="162"/>
        <v>0</v>
      </c>
      <c r="Y152" s="23">
        <f t="shared" si="162"/>
        <v>0</v>
      </c>
      <c r="Z152" s="23">
        <f t="shared" si="162"/>
        <v>0</v>
      </c>
      <c r="AA152" s="23">
        <f t="shared" si="162"/>
        <v>0</v>
      </c>
      <c r="AB152" s="23">
        <f t="shared" si="162"/>
        <v>0</v>
      </c>
      <c r="AC152" s="23">
        <f t="shared" si="162"/>
        <v>0</v>
      </c>
      <c r="AD152" s="23">
        <f t="shared" si="162"/>
        <v>0</v>
      </c>
      <c r="AE152" s="23">
        <f t="shared" si="162"/>
        <v>0</v>
      </c>
      <c r="AF152" s="36"/>
      <c r="AG152" s="15"/>
      <c r="AH152" s="15"/>
      <c r="AI152" s="15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</row>
    <row r="153" spans="1:62" ht="18.75" x14ac:dyDescent="0.3">
      <c r="A153" s="22" t="s">
        <v>31</v>
      </c>
      <c r="B153" s="28">
        <f t="shared" si="163"/>
        <v>0</v>
      </c>
      <c r="C153" s="29">
        <f t="shared" si="164"/>
        <v>0</v>
      </c>
      <c r="D153" s="29">
        <f t="shared" si="164"/>
        <v>0</v>
      </c>
      <c r="E153" s="29">
        <f t="shared" si="164"/>
        <v>0</v>
      </c>
      <c r="F153" s="24" t="e">
        <f t="shared" si="165"/>
        <v>#DIV/0!</v>
      </c>
      <c r="G153" s="24" t="e">
        <f t="shared" si="166"/>
        <v>#DIV/0!</v>
      </c>
      <c r="H153" s="23">
        <f t="shared" si="167"/>
        <v>0</v>
      </c>
      <c r="I153" s="23">
        <f t="shared" si="162"/>
        <v>0</v>
      </c>
      <c r="J153" s="23">
        <f t="shared" si="162"/>
        <v>0</v>
      </c>
      <c r="K153" s="23">
        <f t="shared" si="162"/>
        <v>0</v>
      </c>
      <c r="L153" s="23">
        <f t="shared" si="162"/>
        <v>0</v>
      </c>
      <c r="M153" s="23">
        <f t="shared" si="162"/>
        <v>0</v>
      </c>
      <c r="N153" s="23">
        <f t="shared" si="162"/>
        <v>0</v>
      </c>
      <c r="O153" s="23">
        <f t="shared" si="162"/>
        <v>0</v>
      </c>
      <c r="P153" s="23">
        <f t="shared" si="162"/>
        <v>0</v>
      </c>
      <c r="Q153" s="23">
        <f t="shared" si="162"/>
        <v>0</v>
      </c>
      <c r="R153" s="23">
        <f t="shared" si="162"/>
        <v>0</v>
      </c>
      <c r="S153" s="23">
        <f t="shared" si="162"/>
        <v>0</v>
      </c>
      <c r="T153" s="23">
        <f t="shared" si="162"/>
        <v>0</v>
      </c>
      <c r="U153" s="23">
        <f t="shared" si="162"/>
        <v>0</v>
      </c>
      <c r="V153" s="23">
        <f t="shared" si="162"/>
        <v>0</v>
      </c>
      <c r="W153" s="23">
        <f t="shared" si="162"/>
        <v>0</v>
      </c>
      <c r="X153" s="23">
        <f t="shared" si="162"/>
        <v>0</v>
      </c>
      <c r="Y153" s="23">
        <f t="shared" si="162"/>
        <v>0</v>
      </c>
      <c r="Z153" s="23">
        <f t="shared" si="162"/>
        <v>0</v>
      </c>
      <c r="AA153" s="23">
        <f t="shared" si="162"/>
        <v>0</v>
      </c>
      <c r="AB153" s="23">
        <f t="shared" si="162"/>
        <v>0</v>
      </c>
      <c r="AC153" s="23">
        <f t="shared" si="162"/>
        <v>0</v>
      </c>
      <c r="AD153" s="23">
        <f t="shared" si="162"/>
        <v>0</v>
      </c>
      <c r="AE153" s="23">
        <f t="shared" si="162"/>
        <v>0</v>
      </c>
      <c r="AF153" s="36"/>
      <c r="AG153" s="15"/>
      <c r="AH153" s="15"/>
      <c r="AI153" s="15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</row>
    <row r="154" spans="1:62" ht="18.75" x14ac:dyDescent="0.25">
      <c r="A154" s="105" t="s">
        <v>59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7"/>
      <c r="AF154" s="111" t="s">
        <v>130</v>
      </c>
      <c r="AG154" s="15"/>
      <c r="AH154" s="15"/>
      <c r="AI154" s="15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</row>
    <row r="155" spans="1:62" ht="18.75" x14ac:dyDescent="0.3">
      <c r="A155" s="19" t="s">
        <v>27</v>
      </c>
      <c r="B155" s="27">
        <f>H155+J155+L155+N155+P155+R155+T155+V155+X155+Z155+AB155+AD155</f>
        <v>2074.8000000000002</v>
      </c>
      <c r="C155" s="27">
        <f>C156+C157+C158+C159</f>
        <v>1970.3</v>
      </c>
      <c r="D155" s="27">
        <f>D156+D157+D158+D159</f>
        <v>356.70000000000005</v>
      </c>
      <c r="E155" s="27">
        <f>E156+E157+E158+E159</f>
        <v>356.70000000000005</v>
      </c>
      <c r="F155" s="21">
        <f>E155/B155*100</f>
        <v>17.192018507807983</v>
      </c>
      <c r="G155" s="21">
        <f>E155/C155*100</f>
        <v>18.103842054509467</v>
      </c>
      <c r="H155" s="13">
        <f>SUM(H156:H159)</f>
        <v>0</v>
      </c>
      <c r="I155" s="13">
        <f t="shared" ref="I155:AE155" si="168">SUM(I156:I159)</f>
        <v>0</v>
      </c>
      <c r="J155" s="13">
        <f t="shared" si="168"/>
        <v>74</v>
      </c>
      <c r="K155" s="13">
        <f t="shared" si="168"/>
        <v>12.3</v>
      </c>
      <c r="L155" s="13">
        <f t="shared" si="168"/>
        <v>634.29999999999995</v>
      </c>
      <c r="M155" s="13">
        <f t="shared" si="168"/>
        <v>57.1</v>
      </c>
      <c r="N155" s="13">
        <f t="shared" si="168"/>
        <v>11.7</v>
      </c>
      <c r="O155" s="13">
        <f t="shared" si="168"/>
        <v>186.3</v>
      </c>
      <c r="P155" s="13">
        <f t="shared" si="168"/>
        <v>164.6</v>
      </c>
      <c r="Q155" s="13">
        <f t="shared" si="168"/>
        <v>31.7</v>
      </c>
      <c r="R155" s="13">
        <f t="shared" si="168"/>
        <v>0</v>
      </c>
      <c r="S155" s="13">
        <f t="shared" si="168"/>
        <v>0</v>
      </c>
      <c r="T155" s="13">
        <f t="shared" si="168"/>
        <v>227.7</v>
      </c>
      <c r="U155" s="13">
        <f t="shared" si="168"/>
        <v>0</v>
      </c>
      <c r="V155" s="13">
        <f t="shared" si="168"/>
        <v>0</v>
      </c>
      <c r="W155" s="13">
        <f t="shared" si="168"/>
        <v>0</v>
      </c>
      <c r="X155" s="13">
        <f t="shared" si="168"/>
        <v>59.5</v>
      </c>
      <c r="Y155" s="13">
        <f t="shared" si="168"/>
        <v>0</v>
      </c>
      <c r="Z155" s="13">
        <f t="shared" si="168"/>
        <v>858</v>
      </c>
      <c r="AA155" s="13">
        <f t="shared" si="168"/>
        <v>69.299999999999983</v>
      </c>
      <c r="AB155" s="13">
        <f t="shared" si="168"/>
        <v>45</v>
      </c>
      <c r="AC155" s="13">
        <f t="shared" si="168"/>
        <v>0</v>
      </c>
      <c r="AD155" s="13">
        <f t="shared" si="168"/>
        <v>0</v>
      </c>
      <c r="AE155" s="13">
        <f t="shared" si="168"/>
        <v>0</v>
      </c>
      <c r="AF155" s="112"/>
      <c r="AG155" s="15"/>
      <c r="AH155" s="15"/>
      <c r="AI155" s="15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</row>
    <row r="156" spans="1:62" ht="18.75" x14ac:dyDescent="0.3">
      <c r="A156" s="22" t="s">
        <v>28</v>
      </c>
      <c r="B156" s="28">
        <f>H156+J156+L156+N156+P156+R156+T156+V156+X156+Z156+AB156+AD156</f>
        <v>0</v>
      </c>
      <c r="C156" s="29">
        <f>H156</f>
        <v>0</v>
      </c>
      <c r="D156" s="29"/>
      <c r="E156" s="28">
        <f>I156+K156+M156+O156+Q156+S156+U156+W156+Y156+AA156+AC156+AE156</f>
        <v>0</v>
      </c>
      <c r="F156" s="24" t="e">
        <f>E156/B156*100</f>
        <v>#DIV/0!</v>
      </c>
      <c r="G156" s="24" t="e">
        <f>E156/C156*100</f>
        <v>#DIV/0!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12"/>
      <c r="AG156" s="15"/>
      <c r="AH156" s="15"/>
      <c r="AI156" s="15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</row>
    <row r="157" spans="1:62" ht="18.75" x14ac:dyDescent="0.3">
      <c r="A157" s="22" t="s">
        <v>29</v>
      </c>
      <c r="B157" s="28">
        <f>H157+J157+L157+N157+P157+R157+T157+V157+X157+Z157+AB157+AD157</f>
        <v>2074.8000000000002</v>
      </c>
      <c r="C157" s="29">
        <f>H157+J157+L157+N157+P157+R157+T157+Z157</f>
        <v>1970.3</v>
      </c>
      <c r="D157" s="29">
        <f>E157</f>
        <v>356.70000000000005</v>
      </c>
      <c r="E157" s="28">
        <f>I157+K157+M157+O157+Q157+S157+U157+W157+Y157+AA157+AC157+AE157</f>
        <v>356.70000000000005</v>
      </c>
      <c r="F157" s="24">
        <f>E157/B157*100</f>
        <v>17.192018507807983</v>
      </c>
      <c r="G157" s="24">
        <f>E157/C157*100</f>
        <v>18.103842054509467</v>
      </c>
      <c r="H157" s="13"/>
      <c r="I157" s="13"/>
      <c r="J157" s="13">
        <v>74</v>
      </c>
      <c r="K157" s="13">
        <v>12.3</v>
      </c>
      <c r="L157" s="13">
        <v>634.29999999999995</v>
      </c>
      <c r="M157" s="13">
        <v>57.1</v>
      </c>
      <c r="N157" s="13">
        <v>11.7</v>
      </c>
      <c r="O157" s="13">
        <v>186.3</v>
      </c>
      <c r="P157" s="13">
        <v>164.6</v>
      </c>
      <c r="Q157" s="13">
        <v>31.7</v>
      </c>
      <c r="R157" s="13"/>
      <c r="S157" s="13"/>
      <c r="T157" s="13">
        <v>227.7</v>
      </c>
      <c r="U157" s="13"/>
      <c r="V157" s="13"/>
      <c r="W157" s="13"/>
      <c r="X157" s="13">
        <v>59.5</v>
      </c>
      <c r="Y157" s="13"/>
      <c r="Z157" s="13">
        <f>178+680</f>
        <v>858</v>
      </c>
      <c r="AA157" s="13">
        <f>216.1-146.8</f>
        <v>69.299999999999983</v>
      </c>
      <c r="AB157" s="13">
        <v>45</v>
      </c>
      <c r="AC157" s="13"/>
      <c r="AD157" s="13"/>
      <c r="AE157" s="13"/>
      <c r="AF157" s="112"/>
      <c r="AG157" s="15"/>
      <c r="AH157" s="15"/>
      <c r="AI157" s="15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</row>
    <row r="158" spans="1:62" ht="18.75" x14ac:dyDescent="0.3">
      <c r="A158" s="22" t="s">
        <v>30</v>
      </c>
      <c r="B158" s="28">
        <f t="shared" ref="B158:B159" si="169">H158+J158+L158+N158+P158+R158+T158+V158+X158+Z158+AB158+AD158</f>
        <v>0</v>
      </c>
      <c r="C158" s="29">
        <f t="shared" ref="C158:C159" si="170">H158</f>
        <v>0</v>
      </c>
      <c r="D158" s="29"/>
      <c r="E158" s="28">
        <f t="shared" ref="E158:E159" si="171">I158+K158+M158+O158+Q158+S158+U158+W158+Y158+AA158+AC158+AE158</f>
        <v>0</v>
      </c>
      <c r="F158" s="24" t="e">
        <f t="shared" ref="F158:F159" si="172">E158/B158*100</f>
        <v>#DIV/0!</v>
      </c>
      <c r="G158" s="24" t="e">
        <f t="shared" ref="G158:G159" si="173">E158/C158*100</f>
        <v>#DIV/0!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12"/>
      <c r="AG158" s="15"/>
      <c r="AH158" s="15"/>
      <c r="AI158" s="15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</row>
    <row r="159" spans="1:62" ht="18.75" x14ac:dyDescent="0.3">
      <c r="A159" s="22" t="s">
        <v>31</v>
      </c>
      <c r="B159" s="28">
        <f t="shared" si="169"/>
        <v>0</v>
      </c>
      <c r="C159" s="29">
        <f t="shared" si="170"/>
        <v>0</v>
      </c>
      <c r="D159" s="29"/>
      <c r="E159" s="28">
        <f t="shared" si="171"/>
        <v>0</v>
      </c>
      <c r="F159" s="24" t="e">
        <f t="shared" si="172"/>
        <v>#DIV/0!</v>
      </c>
      <c r="G159" s="24" t="e">
        <f t="shared" si="173"/>
        <v>#DIV/0!</v>
      </c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13"/>
      <c r="AG159" s="15"/>
      <c r="AH159" s="15"/>
      <c r="AI159" s="15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</row>
    <row r="160" spans="1:62" ht="18.75" x14ac:dyDescent="0.25">
      <c r="A160" s="105" t="s">
        <v>60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7"/>
      <c r="AF160" s="111" t="s">
        <v>61</v>
      </c>
      <c r="AG160" s="15"/>
      <c r="AH160" s="15"/>
      <c r="AI160" s="15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</row>
    <row r="161" spans="1:62" ht="18.75" x14ac:dyDescent="0.3">
      <c r="A161" s="19" t="s">
        <v>27</v>
      </c>
      <c r="B161" s="27">
        <f>H161+J161+L161+N161+P161+R161+T161+V161+X161+Z161+AB161+AD161</f>
        <v>100</v>
      </c>
      <c r="C161" s="27">
        <f>C162+C163+C164+C165</f>
        <v>100</v>
      </c>
      <c r="D161" s="27">
        <f>D162+D163+D164+D165</f>
        <v>100</v>
      </c>
      <c r="E161" s="27">
        <f>E162+E163+E164+E165</f>
        <v>100</v>
      </c>
      <c r="F161" s="21">
        <f>E161/B161*100</f>
        <v>100</v>
      </c>
      <c r="G161" s="21">
        <f>E161/C161*100</f>
        <v>100</v>
      </c>
      <c r="H161" s="13">
        <f>SUM(H162:H165)</f>
        <v>0</v>
      </c>
      <c r="I161" s="13">
        <f t="shared" ref="I161:AE161" si="174">SUM(I162:I165)</f>
        <v>0</v>
      </c>
      <c r="J161" s="13">
        <f t="shared" si="174"/>
        <v>100</v>
      </c>
      <c r="K161" s="13">
        <f t="shared" si="174"/>
        <v>65</v>
      </c>
      <c r="L161" s="13">
        <f t="shared" si="174"/>
        <v>0</v>
      </c>
      <c r="M161" s="13">
        <f t="shared" si="174"/>
        <v>35</v>
      </c>
      <c r="N161" s="13">
        <f t="shared" si="174"/>
        <v>0</v>
      </c>
      <c r="O161" s="13">
        <f t="shared" si="174"/>
        <v>0</v>
      </c>
      <c r="P161" s="13">
        <f t="shared" si="174"/>
        <v>0</v>
      </c>
      <c r="Q161" s="13">
        <f t="shared" si="174"/>
        <v>0</v>
      </c>
      <c r="R161" s="13">
        <f t="shared" si="174"/>
        <v>0</v>
      </c>
      <c r="S161" s="13">
        <f t="shared" si="174"/>
        <v>0</v>
      </c>
      <c r="T161" s="13">
        <f t="shared" si="174"/>
        <v>0</v>
      </c>
      <c r="U161" s="13">
        <f t="shared" si="174"/>
        <v>0</v>
      </c>
      <c r="V161" s="13">
        <f t="shared" si="174"/>
        <v>0</v>
      </c>
      <c r="W161" s="13">
        <f t="shared" si="174"/>
        <v>0</v>
      </c>
      <c r="X161" s="13">
        <f t="shared" si="174"/>
        <v>0</v>
      </c>
      <c r="Y161" s="13">
        <f t="shared" si="174"/>
        <v>0</v>
      </c>
      <c r="Z161" s="13">
        <f t="shared" si="174"/>
        <v>0</v>
      </c>
      <c r="AA161" s="13">
        <f t="shared" si="174"/>
        <v>0</v>
      </c>
      <c r="AB161" s="13">
        <f t="shared" si="174"/>
        <v>0</v>
      </c>
      <c r="AC161" s="13">
        <f t="shared" si="174"/>
        <v>0</v>
      </c>
      <c r="AD161" s="13">
        <f t="shared" si="174"/>
        <v>0</v>
      </c>
      <c r="AE161" s="13">
        <f t="shared" si="174"/>
        <v>0</v>
      </c>
      <c r="AF161" s="112"/>
      <c r="AG161" s="15"/>
      <c r="AH161" s="15"/>
      <c r="AI161" s="15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</row>
    <row r="162" spans="1:62" ht="18.75" x14ac:dyDescent="0.3">
      <c r="A162" s="22" t="s">
        <v>28</v>
      </c>
      <c r="B162" s="28">
        <f>H162+J162+L162+N162+P162+R162+T162+V162+X162+Z162+AB162+AD162</f>
        <v>0</v>
      </c>
      <c r="C162" s="29">
        <f>H162</f>
        <v>0</v>
      </c>
      <c r="D162" s="29"/>
      <c r="E162" s="28">
        <f>I162+K162+M162+O162+Q162+S162+U162+W162+Y162+AA162+AC162+AE162</f>
        <v>0</v>
      </c>
      <c r="F162" s="24" t="e">
        <f>E162/B162*100</f>
        <v>#DIV/0!</v>
      </c>
      <c r="G162" s="24" t="e">
        <f>E162/C162*100</f>
        <v>#DIV/0!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12"/>
      <c r="AG162" s="15"/>
      <c r="AH162" s="15"/>
      <c r="AI162" s="15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</row>
    <row r="163" spans="1:62" ht="18.75" x14ac:dyDescent="0.3">
      <c r="A163" s="22" t="s">
        <v>29</v>
      </c>
      <c r="B163" s="28">
        <f>H163+J163+L163+N163+P163+R163+T163+V163+X163+Z163+AB163+AD163</f>
        <v>100</v>
      </c>
      <c r="C163" s="29">
        <f>H163+J163</f>
        <v>100</v>
      </c>
      <c r="D163" s="29">
        <f>E163</f>
        <v>100</v>
      </c>
      <c r="E163" s="28">
        <f>I163+K163+M163+O163+Q163+S163+U163+W163+Y163+AA163+AC163+AE163</f>
        <v>100</v>
      </c>
      <c r="F163" s="24">
        <f>E163/B163*100</f>
        <v>100</v>
      </c>
      <c r="G163" s="24">
        <f>E163/C163*100</f>
        <v>100</v>
      </c>
      <c r="H163" s="13"/>
      <c r="I163" s="13"/>
      <c r="J163" s="23">
        <v>100</v>
      </c>
      <c r="K163" s="23">
        <v>65</v>
      </c>
      <c r="L163" s="13"/>
      <c r="M163" s="13">
        <v>35</v>
      </c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13"/>
      <c r="AG163" s="15"/>
      <c r="AH163" s="15"/>
      <c r="AI163" s="15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</row>
    <row r="164" spans="1:62" ht="18.75" x14ac:dyDescent="0.3">
      <c r="A164" s="22" t="s">
        <v>30</v>
      </c>
      <c r="B164" s="28">
        <f t="shared" ref="B164:B165" si="175">H164+J164+L164+N164+P164+R164+T164+V164+X164+Z164+AB164+AD164</f>
        <v>0</v>
      </c>
      <c r="C164" s="29">
        <f t="shared" ref="C164:C165" si="176">H164</f>
        <v>0</v>
      </c>
      <c r="D164" s="29"/>
      <c r="E164" s="28">
        <f t="shared" ref="E164:E165" si="177">I164+K164+M164+O164+Q164+S164+U164+W164+Y164+AA164+AC164+AE164</f>
        <v>0</v>
      </c>
      <c r="F164" s="24" t="e">
        <f t="shared" ref="F164:F165" si="178">E164/B164*100</f>
        <v>#DIV/0!</v>
      </c>
      <c r="G164" s="24" t="e">
        <f t="shared" ref="G164:G165" si="179">E164/C164*100</f>
        <v>#DIV/0!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36"/>
      <c r="AG164" s="15"/>
      <c r="AH164" s="15"/>
      <c r="AI164" s="15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</row>
    <row r="165" spans="1:62" ht="18.75" x14ac:dyDescent="0.3">
      <c r="A165" s="22" t="s">
        <v>31</v>
      </c>
      <c r="B165" s="28">
        <f t="shared" si="175"/>
        <v>0</v>
      </c>
      <c r="C165" s="29">
        <f t="shared" si="176"/>
        <v>0</v>
      </c>
      <c r="D165" s="29"/>
      <c r="E165" s="28">
        <f t="shared" si="177"/>
        <v>0</v>
      </c>
      <c r="F165" s="24" t="e">
        <f t="shared" si="178"/>
        <v>#DIV/0!</v>
      </c>
      <c r="G165" s="24" t="e">
        <f t="shared" si="179"/>
        <v>#DIV/0!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36"/>
      <c r="AG165" s="15"/>
      <c r="AH165" s="15"/>
      <c r="AI165" s="15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</row>
    <row r="166" spans="1:62" ht="20.25" x14ac:dyDescent="0.25">
      <c r="A166" s="108" t="s">
        <v>62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10"/>
      <c r="AF166" s="36"/>
      <c r="AG166" s="15"/>
      <c r="AH166" s="15"/>
      <c r="AI166" s="15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</row>
    <row r="167" spans="1:62" ht="18.75" x14ac:dyDescent="0.3">
      <c r="A167" s="19" t="s">
        <v>27</v>
      </c>
      <c r="B167" s="13">
        <f>H167+J167+L167+N167+P167+R167+T167+V167+X167+Z167+AB167+AD167</f>
        <v>1943.3400000000001</v>
      </c>
      <c r="C167" s="13">
        <f>C168+C169+C170+C171</f>
        <v>1494.44</v>
      </c>
      <c r="D167" s="13">
        <f>D168+D169+D170+D171</f>
        <v>654.09999999999991</v>
      </c>
      <c r="E167" s="13">
        <f>E168+E169+E170+E171</f>
        <v>654.09999999999991</v>
      </c>
      <c r="F167" s="21">
        <f>E167/B167*100</f>
        <v>33.658546625912081</v>
      </c>
      <c r="G167" s="21">
        <f>E167/C167*100</f>
        <v>43.768903401943192</v>
      </c>
      <c r="H167" s="13">
        <f>H168+H169+H170+H171</f>
        <v>0</v>
      </c>
      <c r="I167" s="13">
        <f t="shared" ref="I167:AE167" si="180">I168+I169+I170+I171</f>
        <v>0</v>
      </c>
      <c r="J167" s="13">
        <f t="shared" si="180"/>
        <v>296.2</v>
      </c>
      <c r="K167" s="13">
        <f t="shared" si="180"/>
        <v>269.8</v>
      </c>
      <c r="L167" s="13">
        <f t="shared" si="180"/>
        <v>128.80000000000001</v>
      </c>
      <c r="M167" s="13">
        <f t="shared" si="180"/>
        <v>84.6</v>
      </c>
      <c r="N167" s="13">
        <f t="shared" si="180"/>
        <v>135</v>
      </c>
      <c r="O167" s="13">
        <f t="shared" si="180"/>
        <v>0</v>
      </c>
      <c r="P167" s="13">
        <f t="shared" si="180"/>
        <v>21.54</v>
      </c>
      <c r="Q167" s="13">
        <f t="shared" si="180"/>
        <v>0</v>
      </c>
      <c r="R167" s="13">
        <f t="shared" si="180"/>
        <v>402</v>
      </c>
      <c r="S167" s="13">
        <f t="shared" si="180"/>
        <v>47</v>
      </c>
      <c r="T167" s="13">
        <f t="shared" si="180"/>
        <v>0</v>
      </c>
      <c r="U167" s="13">
        <f t="shared" si="180"/>
        <v>0</v>
      </c>
      <c r="V167" s="13">
        <f t="shared" si="180"/>
        <v>0</v>
      </c>
      <c r="W167" s="13">
        <f t="shared" si="180"/>
        <v>7.9</v>
      </c>
      <c r="X167" s="13">
        <f t="shared" si="180"/>
        <v>123.8</v>
      </c>
      <c r="Y167" s="13">
        <f t="shared" si="180"/>
        <v>15.4</v>
      </c>
      <c r="Z167" s="13">
        <f t="shared" si="180"/>
        <v>387.1</v>
      </c>
      <c r="AA167" s="13">
        <f t="shared" si="180"/>
        <v>229.39999999999998</v>
      </c>
      <c r="AB167" s="13">
        <f t="shared" si="180"/>
        <v>298.89999999999998</v>
      </c>
      <c r="AC167" s="13">
        <f t="shared" si="180"/>
        <v>0</v>
      </c>
      <c r="AD167" s="13">
        <f t="shared" si="180"/>
        <v>150</v>
      </c>
      <c r="AE167" s="13">
        <f t="shared" si="180"/>
        <v>0</v>
      </c>
      <c r="AF167" s="36"/>
      <c r="AG167" s="15"/>
      <c r="AH167" s="15"/>
      <c r="AI167" s="15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</row>
    <row r="168" spans="1:62" ht="18.75" x14ac:dyDescent="0.3">
      <c r="A168" s="22" t="s">
        <v>28</v>
      </c>
      <c r="B168" s="29">
        <f t="shared" ref="B168:E168" si="181">B174+B180</f>
        <v>0</v>
      </c>
      <c r="C168" s="29">
        <f>C174+C180</f>
        <v>0</v>
      </c>
      <c r="D168" s="29">
        <f t="shared" si="181"/>
        <v>0</v>
      </c>
      <c r="E168" s="29">
        <f t="shared" si="181"/>
        <v>0</v>
      </c>
      <c r="F168" s="46"/>
      <c r="G168" s="46"/>
      <c r="H168" s="29">
        <f t="shared" ref="H168:AE171" si="182">H174+H180</f>
        <v>0</v>
      </c>
      <c r="I168" s="29">
        <f t="shared" si="182"/>
        <v>0</v>
      </c>
      <c r="J168" s="29">
        <f t="shared" si="182"/>
        <v>0</v>
      </c>
      <c r="K168" s="29">
        <f t="shared" si="182"/>
        <v>0</v>
      </c>
      <c r="L168" s="29">
        <f t="shared" si="182"/>
        <v>0</v>
      </c>
      <c r="M168" s="29">
        <f t="shared" si="182"/>
        <v>0</v>
      </c>
      <c r="N168" s="29">
        <f t="shared" si="182"/>
        <v>0</v>
      </c>
      <c r="O168" s="29">
        <f t="shared" si="182"/>
        <v>0</v>
      </c>
      <c r="P168" s="29">
        <f t="shared" si="182"/>
        <v>0</v>
      </c>
      <c r="Q168" s="29">
        <f t="shared" si="182"/>
        <v>0</v>
      </c>
      <c r="R168" s="29">
        <f t="shared" si="182"/>
        <v>0</v>
      </c>
      <c r="S168" s="29">
        <f t="shared" si="182"/>
        <v>0</v>
      </c>
      <c r="T168" s="29">
        <f t="shared" si="182"/>
        <v>0</v>
      </c>
      <c r="U168" s="29">
        <f t="shared" si="182"/>
        <v>0</v>
      </c>
      <c r="V168" s="29">
        <f t="shared" si="182"/>
        <v>0</v>
      </c>
      <c r="W168" s="29">
        <f t="shared" si="182"/>
        <v>0</v>
      </c>
      <c r="X168" s="29">
        <f t="shared" si="182"/>
        <v>0</v>
      </c>
      <c r="Y168" s="29">
        <f t="shared" si="182"/>
        <v>0</v>
      </c>
      <c r="Z168" s="29">
        <f t="shared" si="182"/>
        <v>0</v>
      </c>
      <c r="AA168" s="29">
        <f t="shared" si="182"/>
        <v>0</v>
      </c>
      <c r="AB168" s="29">
        <f t="shared" si="182"/>
        <v>0</v>
      </c>
      <c r="AC168" s="29">
        <f t="shared" si="182"/>
        <v>0</v>
      </c>
      <c r="AD168" s="29">
        <f t="shared" si="182"/>
        <v>0</v>
      </c>
      <c r="AE168" s="29">
        <f t="shared" si="182"/>
        <v>0</v>
      </c>
      <c r="AF168" s="36"/>
      <c r="AG168" s="15"/>
      <c r="AH168" s="15"/>
      <c r="AI168" s="15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</row>
    <row r="169" spans="1:62" ht="18.75" x14ac:dyDescent="0.3">
      <c r="A169" s="22" t="s">
        <v>29</v>
      </c>
      <c r="B169" s="29">
        <f>B175+B181+B187</f>
        <v>1943.34</v>
      </c>
      <c r="C169" s="29">
        <f>C175+C181+C187</f>
        <v>1494.44</v>
      </c>
      <c r="D169" s="29">
        <f>D175+D181+D187</f>
        <v>654.09999999999991</v>
      </c>
      <c r="E169" s="29">
        <f>E175+E181+E187</f>
        <v>654.09999999999991</v>
      </c>
      <c r="F169" s="24">
        <f>E169/B169*100</f>
        <v>33.658546625912081</v>
      </c>
      <c r="G169" s="24">
        <f>E169/C169*100</f>
        <v>43.768903401943192</v>
      </c>
      <c r="H169" s="29">
        <f>H175+H181+H187</f>
        <v>0</v>
      </c>
      <c r="I169" s="29">
        <f t="shared" ref="I169:AE169" si="183">I175+I181+I187</f>
        <v>0</v>
      </c>
      <c r="J169" s="29">
        <f t="shared" si="183"/>
        <v>296.2</v>
      </c>
      <c r="K169" s="29">
        <f t="shared" si="183"/>
        <v>269.8</v>
      </c>
      <c r="L169" s="29">
        <f t="shared" si="183"/>
        <v>128.80000000000001</v>
      </c>
      <c r="M169" s="29">
        <f t="shared" si="183"/>
        <v>84.6</v>
      </c>
      <c r="N169" s="29">
        <f t="shared" si="183"/>
        <v>135</v>
      </c>
      <c r="O169" s="29">
        <f t="shared" si="183"/>
        <v>0</v>
      </c>
      <c r="P169" s="29">
        <f t="shared" si="183"/>
        <v>21.54</v>
      </c>
      <c r="Q169" s="29">
        <f t="shared" si="183"/>
        <v>0</v>
      </c>
      <c r="R169" s="29">
        <f t="shared" si="183"/>
        <v>402</v>
      </c>
      <c r="S169" s="29">
        <f t="shared" si="183"/>
        <v>47</v>
      </c>
      <c r="T169" s="29">
        <f t="shared" si="183"/>
        <v>0</v>
      </c>
      <c r="U169" s="29">
        <f t="shared" si="183"/>
        <v>0</v>
      </c>
      <c r="V169" s="29">
        <f t="shared" si="183"/>
        <v>0</v>
      </c>
      <c r="W169" s="29">
        <f t="shared" si="183"/>
        <v>7.9</v>
      </c>
      <c r="X169" s="29">
        <f t="shared" si="183"/>
        <v>123.8</v>
      </c>
      <c r="Y169" s="29">
        <f t="shared" si="183"/>
        <v>15.4</v>
      </c>
      <c r="Z169" s="29">
        <f t="shared" si="183"/>
        <v>387.1</v>
      </c>
      <c r="AA169" s="29">
        <f t="shared" si="183"/>
        <v>229.39999999999998</v>
      </c>
      <c r="AB169" s="29">
        <f t="shared" si="183"/>
        <v>298.89999999999998</v>
      </c>
      <c r="AC169" s="29">
        <f t="shared" si="183"/>
        <v>0</v>
      </c>
      <c r="AD169" s="29">
        <f t="shared" si="183"/>
        <v>150</v>
      </c>
      <c r="AE169" s="29">
        <f t="shared" si="183"/>
        <v>0</v>
      </c>
      <c r="AF169" s="36"/>
      <c r="AG169" s="15"/>
      <c r="AH169" s="15"/>
      <c r="AI169" s="15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</row>
    <row r="170" spans="1:62" ht="18.75" x14ac:dyDescent="0.3">
      <c r="A170" s="22" t="s">
        <v>30</v>
      </c>
      <c r="B170" s="29">
        <f t="shared" ref="B170:E171" si="184">B176+B182</f>
        <v>0</v>
      </c>
      <c r="C170" s="29">
        <f t="shared" si="184"/>
        <v>0</v>
      </c>
      <c r="D170" s="29">
        <f t="shared" si="184"/>
        <v>0</v>
      </c>
      <c r="E170" s="29">
        <f t="shared" si="184"/>
        <v>0</v>
      </c>
      <c r="F170" s="46"/>
      <c r="G170" s="46"/>
      <c r="H170" s="29">
        <f t="shared" si="182"/>
        <v>0</v>
      </c>
      <c r="I170" s="29">
        <f t="shared" si="182"/>
        <v>0</v>
      </c>
      <c r="J170" s="29">
        <f t="shared" si="182"/>
        <v>0</v>
      </c>
      <c r="K170" s="29">
        <f t="shared" si="182"/>
        <v>0</v>
      </c>
      <c r="L170" s="29">
        <f t="shared" si="182"/>
        <v>0</v>
      </c>
      <c r="M170" s="29">
        <f t="shared" si="182"/>
        <v>0</v>
      </c>
      <c r="N170" s="29">
        <f t="shared" si="182"/>
        <v>0</v>
      </c>
      <c r="O170" s="29">
        <f t="shared" si="182"/>
        <v>0</v>
      </c>
      <c r="P170" s="29">
        <f t="shared" si="182"/>
        <v>0</v>
      </c>
      <c r="Q170" s="29">
        <f t="shared" si="182"/>
        <v>0</v>
      </c>
      <c r="R170" s="29">
        <f t="shared" si="182"/>
        <v>0</v>
      </c>
      <c r="S170" s="29">
        <f t="shared" si="182"/>
        <v>0</v>
      </c>
      <c r="T170" s="29">
        <f t="shared" si="182"/>
        <v>0</v>
      </c>
      <c r="U170" s="29">
        <f t="shared" si="182"/>
        <v>0</v>
      </c>
      <c r="V170" s="29">
        <f t="shared" si="182"/>
        <v>0</v>
      </c>
      <c r="W170" s="29">
        <f t="shared" si="182"/>
        <v>0</v>
      </c>
      <c r="X170" s="29">
        <f t="shared" si="182"/>
        <v>0</v>
      </c>
      <c r="Y170" s="29">
        <f t="shared" si="182"/>
        <v>0</v>
      </c>
      <c r="Z170" s="29">
        <f t="shared" si="182"/>
        <v>0</v>
      </c>
      <c r="AA170" s="29">
        <f t="shared" si="182"/>
        <v>0</v>
      </c>
      <c r="AB170" s="29">
        <f t="shared" si="182"/>
        <v>0</v>
      </c>
      <c r="AC170" s="29">
        <f t="shared" si="182"/>
        <v>0</v>
      </c>
      <c r="AD170" s="29">
        <f t="shared" si="182"/>
        <v>0</v>
      </c>
      <c r="AE170" s="29">
        <f t="shared" si="182"/>
        <v>0</v>
      </c>
      <c r="AF170" s="36"/>
      <c r="AG170" s="15"/>
      <c r="AH170" s="15"/>
      <c r="AI170" s="15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</row>
    <row r="171" spans="1:62" ht="18.75" x14ac:dyDescent="0.3">
      <c r="A171" s="22" t="s">
        <v>31</v>
      </c>
      <c r="B171" s="29">
        <f t="shared" si="184"/>
        <v>0</v>
      </c>
      <c r="C171" s="29">
        <f t="shared" si="184"/>
        <v>0</v>
      </c>
      <c r="D171" s="29">
        <f t="shared" si="184"/>
        <v>0</v>
      </c>
      <c r="E171" s="29">
        <f t="shared" si="184"/>
        <v>0</v>
      </c>
      <c r="F171" s="46"/>
      <c r="G171" s="46"/>
      <c r="H171" s="29">
        <f t="shared" si="182"/>
        <v>0</v>
      </c>
      <c r="I171" s="29">
        <f t="shared" si="182"/>
        <v>0</v>
      </c>
      <c r="J171" s="29">
        <f t="shared" si="182"/>
        <v>0</v>
      </c>
      <c r="K171" s="29">
        <f t="shared" si="182"/>
        <v>0</v>
      </c>
      <c r="L171" s="29">
        <f t="shared" si="182"/>
        <v>0</v>
      </c>
      <c r="M171" s="29">
        <f t="shared" si="182"/>
        <v>0</v>
      </c>
      <c r="N171" s="29">
        <f t="shared" si="182"/>
        <v>0</v>
      </c>
      <c r="O171" s="29">
        <f t="shared" si="182"/>
        <v>0</v>
      </c>
      <c r="P171" s="29">
        <f t="shared" si="182"/>
        <v>0</v>
      </c>
      <c r="Q171" s="29">
        <f t="shared" si="182"/>
        <v>0</v>
      </c>
      <c r="R171" s="29">
        <f t="shared" si="182"/>
        <v>0</v>
      </c>
      <c r="S171" s="29">
        <f t="shared" si="182"/>
        <v>0</v>
      </c>
      <c r="T171" s="29">
        <f t="shared" si="182"/>
        <v>0</v>
      </c>
      <c r="U171" s="29">
        <f t="shared" si="182"/>
        <v>0</v>
      </c>
      <c r="V171" s="29">
        <f t="shared" si="182"/>
        <v>0</v>
      </c>
      <c r="W171" s="29">
        <f t="shared" si="182"/>
        <v>0</v>
      </c>
      <c r="X171" s="29">
        <f t="shared" si="182"/>
        <v>0</v>
      </c>
      <c r="Y171" s="29">
        <f t="shared" si="182"/>
        <v>0</v>
      </c>
      <c r="Z171" s="29">
        <f t="shared" si="182"/>
        <v>0</v>
      </c>
      <c r="AA171" s="29">
        <f t="shared" si="182"/>
        <v>0</v>
      </c>
      <c r="AB171" s="29">
        <f t="shared" si="182"/>
        <v>0</v>
      </c>
      <c r="AC171" s="29">
        <f t="shared" si="182"/>
        <v>0</v>
      </c>
      <c r="AD171" s="29">
        <f t="shared" si="182"/>
        <v>0</v>
      </c>
      <c r="AE171" s="29">
        <f t="shared" si="182"/>
        <v>0</v>
      </c>
      <c r="AF171" s="36"/>
      <c r="AG171" s="15"/>
      <c r="AH171" s="15"/>
      <c r="AI171" s="15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</row>
    <row r="172" spans="1:62" ht="18.75" x14ac:dyDescent="0.25">
      <c r="A172" s="105" t="s">
        <v>63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7"/>
      <c r="AF172" s="111" t="s">
        <v>64</v>
      </c>
      <c r="AG172" s="15"/>
      <c r="AH172" s="15"/>
      <c r="AI172" s="15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</row>
    <row r="173" spans="1:62" ht="18.75" x14ac:dyDescent="0.3">
      <c r="A173" s="19" t="s">
        <v>27</v>
      </c>
      <c r="B173" s="27">
        <f>H173+J173+L173+N173+P173+R173+T173+V173+X173+Z173+AB173+AD173</f>
        <v>980.04</v>
      </c>
      <c r="C173" s="27">
        <f>C174+C175+C176+C177</f>
        <v>681.14</v>
      </c>
      <c r="D173" s="27">
        <f>D174+D175+D176+D177</f>
        <v>357.09999999999997</v>
      </c>
      <c r="E173" s="27">
        <f>E174+E175+E176+E177</f>
        <v>357.09999999999997</v>
      </c>
      <c r="F173" s="21">
        <f>E173/B173*100</f>
        <v>36.437288273947999</v>
      </c>
      <c r="G173" s="21">
        <f>E173/C173*100</f>
        <v>52.426813870863555</v>
      </c>
      <c r="H173" s="13">
        <f t="shared" ref="H173:AE173" si="185">H174+H175+H176+H177</f>
        <v>0</v>
      </c>
      <c r="I173" s="13">
        <f t="shared" si="185"/>
        <v>0</v>
      </c>
      <c r="J173" s="13">
        <f t="shared" si="185"/>
        <v>292.89999999999998</v>
      </c>
      <c r="K173" s="13">
        <f t="shared" si="185"/>
        <v>266.5</v>
      </c>
      <c r="L173" s="13">
        <f t="shared" si="185"/>
        <v>61.1</v>
      </c>
      <c r="M173" s="13">
        <f t="shared" si="185"/>
        <v>52.6</v>
      </c>
      <c r="N173" s="13">
        <f t="shared" si="185"/>
        <v>8</v>
      </c>
      <c r="O173" s="13">
        <f t="shared" si="185"/>
        <v>0</v>
      </c>
      <c r="P173" s="13">
        <f t="shared" si="185"/>
        <v>21.54</v>
      </c>
      <c r="Q173" s="13">
        <f t="shared" si="185"/>
        <v>0</v>
      </c>
      <c r="R173" s="13">
        <f t="shared" si="185"/>
        <v>122</v>
      </c>
      <c r="S173" s="13">
        <f t="shared" si="185"/>
        <v>0</v>
      </c>
      <c r="T173" s="13">
        <f t="shared" si="185"/>
        <v>0</v>
      </c>
      <c r="U173" s="13">
        <f t="shared" si="185"/>
        <v>0</v>
      </c>
      <c r="V173" s="13">
        <f t="shared" si="185"/>
        <v>0</v>
      </c>
      <c r="W173" s="13">
        <f t="shared" si="185"/>
        <v>7.9</v>
      </c>
      <c r="X173" s="13">
        <f t="shared" si="185"/>
        <v>123.8</v>
      </c>
      <c r="Y173" s="13">
        <f t="shared" si="185"/>
        <v>15.4</v>
      </c>
      <c r="Z173" s="13">
        <f t="shared" si="185"/>
        <v>51.8</v>
      </c>
      <c r="AA173" s="13">
        <f t="shared" si="185"/>
        <v>14.7</v>
      </c>
      <c r="AB173" s="13">
        <f t="shared" si="185"/>
        <v>298.89999999999998</v>
      </c>
      <c r="AC173" s="13">
        <f t="shared" si="185"/>
        <v>0</v>
      </c>
      <c r="AD173" s="13">
        <f t="shared" si="185"/>
        <v>0</v>
      </c>
      <c r="AE173" s="13">
        <f t="shared" si="185"/>
        <v>0</v>
      </c>
      <c r="AF173" s="112"/>
      <c r="AG173" s="15"/>
      <c r="AH173" s="15"/>
      <c r="AI173" s="15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</row>
    <row r="174" spans="1:62" ht="18.75" x14ac:dyDescent="0.3">
      <c r="A174" s="22" t="s">
        <v>28</v>
      </c>
      <c r="B174" s="28">
        <f>H174+J174+L174+N174+P174+R174+T174+V174+X174+Z174+AB174+AD174</f>
        <v>0</v>
      </c>
      <c r="C174" s="29">
        <f>H174</f>
        <v>0</v>
      </c>
      <c r="D174" s="29"/>
      <c r="E174" s="28">
        <f>I174+K174+M174+O174+Q174+S174+U174+W174+Y174+AA174+AC174+AE174</f>
        <v>0</v>
      </c>
      <c r="F174" s="24" t="e">
        <f>E174/B174*100</f>
        <v>#DIV/0!</v>
      </c>
      <c r="G174" s="24" t="e">
        <f>E174/C174*100</f>
        <v>#DIV/0!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12"/>
      <c r="AG174" s="15"/>
      <c r="AH174" s="15"/>
      <c r="AI174" s="15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</row>
    <row r="175" spans="1:62" ht="18.75" x14ac:dyDescent="0.3">
      <c r="A175" s="22" t="s">
        <v>29</v>
      </c>
      <c r="B175" s="28">
        <f>H175+J175+L175+N175+P175+R175+T175+V175+X175+Z175+AB175+AD175</f>
        <v>980.04</v>
      </c>
      <c r="C175" s="29">
        <f>H175+J175+L175+N175+P175+R175+X175+Z175</f>
        <v>681.14</v>
      </c>
      <c r="D175" s="29">
        <f>E175</f>
        <v>357.09999999999997</v>
      </c>
      <c r="E175" s="28">
        <f>I175+K175+M175+O175+Q175+S175+U175+W175+Y175+AA175+AC175+AE175</f>
        <v>357.09999999999997</v>
      </c>
      <c r="F175" s="24">
        <f>E175/B175*100</f>
        <v>36.437288273947999</v>
      </c>
      <c r="G175" s="24">
        <f>E175/C175*100</f>
        <v>52.426813870863555</v>
      </c>
      <c r="H175" s="13"/>
      <c r="I175" s="13"/>
      <c r="J175" s="23">
        <v>292.89999999999998</v>
      </c>
      <c r="K175" s="23">
        <v>266.5</v>
      </c>
      <c r="L175" s="23">
        <v>61.1</v>
      </c>
      <c r="M175" s="23">
        <v>52.6</v>
      </c>
      <c r="N175" s="23">
        <v>8</v>
      </c>
      <c r="O175" s="23"/>
      <c r="P175" s="23">
        <v>21.54</v>
      </c>
      <c r="Q175" s="23"/>
      <c r="R175" s="23">
        <v>122</v>
      </c>
      <c r="S175" s="23"/>
      <c r="T175" s="23"/>
      <c r="U175" s="23"/>
      <c r="V175" s="23"/>
      <c r="W175" s="23">
        <v>7.9</v>
      </c>
      <c r="X175" s="23">
        <v>123.8</v>
      </c>
      <c r="Y175" s="23">
        <v>15.4</v>
      </c>
      <c r="Z175" s="23">
        <v>51.8</v>
      </c>
      <c r="AA175" s="23">
        <v>14.7</v>
      </c>
      <c r="AB175" s="23">
        <v>298.89999999999998</v>
      </c>
      <c r="AC175" s="23"/>
      <c r="AD175" s="23"/>
      <c r="AE175" s="23"/>
      <c r="AF175" s="112"/>
      <c r="AG175" s="15"/>
      <c r="AH175" s="15"/>
      <c r="AI175" s="15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</row>
    <row r="176" spans="1:62" ht="18.75" x14ac:dyDescent="0.3">
      <c r="A176" s="22" t="s">
        <v>30</v>
      </c>
      <c r="B176" s="28">
        <f t="shared" ref="B176:B177" si="186">H176+J176+L176+N176+P176+R176+T176+V176+X176+Z176+AB176+AD176</f>
        <v>0</v>
      </c>
      <c r="C176" s="29">
        <f t="shared" ref="C176:C177" si="187">H176</f>
        <v>0</v>
      </c>
      <c r="D176" s="29"/>
      <c r="E176" s="28">
        <f t="shared" ref="E176:E177" si="188">I176+K176+M176+O176+Q176+S176+U176+W176+Y176+AA176+AC176+AE176</f>
        <v>0</v>
      </c>
      <c r="F176" s="24" t="e">
        <f t="shared" ref="F176:F177" si="189">E176/B176*100</f>
        <v>#DIV/0!</v>
      </c>
      <c r="G176" s="24" t="e">
        <f t="shared" ref="G176:G177" si="190">E176/C176*100</f>
        <v>#DIV/0!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12"/>
      <c r="AG176" s="15"/>
      <c r="AH176" s="15"/>
      <c r="AI176" s="15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</row>
    <row r="177" spans="1:62" ht="18.75" x14ac:dyDescent="0.3">
      <c r="A177" s="22" t="s">
        <v>31</v>
      </c>
      <c r="B177" s="28">
        <f t="shared" si="186"/>
        <v>0</v>
      </c>
      <c r="C177" s="29">
        <f t="shared" si="187"/>
        <v>0</v>
      </c>
      <c r="D177" s="29"/>
      <c r="E177" s="28">
        <f t="shared" si="188"/>
        <v>0</v>
      </c>
      <c r="F177" s="24" t="e">
        <f t="shared" si="189"/>
        <v>#DIV/0!</v>
      </c>
      <c r="G177" s="24" t="e">
        <f t="shared" si="190"/>
        <v>#DIV/0!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13"/>
      <c r="AG177" s="15"/>
      <c r="AH177" s="15"/>
      <c r="AI177" s="15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</row>
    <row r="178" spans="1:62" ht="18.75" x14ac:dyDescent="0.25">
      <c r="A178" s="105" t="s">
        <v>65</v>
      </c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7"/>
      <c r="AF178" s="36"/>
      <c r="AG178" s="15"/>
      <c r="AH178" s="15"/>
      <c r="AI178" s="15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</row>
    <row r="179" spans="1:62" ht="18.75" x14ac:dyDescent="0.3">
      <c r="A179" s="19" t="s">
        <v>27</v>
      </c>
      <c r="B179" s="27">
        <f>H179+J179+L179+N179+P179+R179+T179+V179+X179+Z179+AB179+AD179</f>
        <v>813.3</v>
      </c>
      <c r="C179" s="27">
        <f>C180+C181+C182+C183</f>
        <v>813.3</v>
      </c>
      <c r="D179" s="27">
        <f>D180+D181+D182+D183</f>
        <v>297</v>
      </c>
      <c r="E179" s="27">
        <f>E180+E181+E182+E183</f>
        <v>297</v>
      </c>
      <c r="F179" s="21">
        <f>E179/B179*100</f>
        <v>36.517890077462198</v>
      </c>
      <c r="G179" s="21">
        <f>E179/C179*100</f>
        <v>36.517890077462198</v>
      </c>
      <c r="H179" s="13">
        <f>H180+H181+H182+H183</f>
        <v>0</v>
      </c>
      <c r="I179" s="13">
        <f t="shared" ref="I179:AE179" si="191">I180+I181+I182+I183</f>
        <v>0</v>
      </c>
      <c r="J179" s="13">
        <f t="shared" si="191"/>
        <v>3.3</v>
      </c>
      <c r="K179" s="13">
        <f t="shared" si="191"/>
        <v>3.3</v>
      </c>
      <c r="L179" s="13">
        <f t="shared" si="191"/>
        <v>67.7</v>
      </c>
      <c r="M179" s="13">
        <f t="shared" si="191"/>
        <v>32</v>
      </c>
      <c r="N179" s="13">
        <f t="shared" si="191"/>
        <v>127</v>
      </c>
      <c r="O179" s="13">
        <f t="shared" si="191"/>
        <v>0</v>
      </c>
      <c r="P179" s="13">
        <f t="shared" si="191"/>
        <v>0</v>
      </c>
      <c r="Q179" s="13">
        <f t="shared" si="191"/>
        <v>0</v>
      </c>
      <c r="R179" s="13">
        <f t="shared" si="191"/>
        <v>280</v>
      </c>
      <c r="S179" s="13">
        <f t="shared" si="191"/>
        <v>47</v>
      </c>
      <c r="T179" s="13">
        <f t="shared" si="191"/>
        <v>0</v>
      </c>
      <c r="U179" s="13">
        <f t="shared" si="191"/>
        <v>0</v>
      </c>
      <c r="V179" s="13">
        <f t="shared" si="191"/>
        <v>0</v>
      </c>
      <c r="W179" s="13">
        <f t="shared" si="191"/>
        <v>0</v>
      </c>
      <c r="X179" s="13">
        <f t="shared" si="191"/>
        <v>0</v>
      </c>
      <c r="Y179" s="13">
        <f t="shared" si="191"/>
        <v>0</v>
      </c>
      <c r="Z179" s="13">
        <f t="shared" si="191"/>
        <v>335.3</v>
      </c>
      <c r="AA179" s="13">
        <f t="shared" si="191"/>
        <v>214.7</v>
      </c>
      <c r="AB179" s="13">
        <f t="shared" si="191"/>
        <v>0</v>
      </c>
      <c r="AC179" s="13">
        <f t="shared" si="191"/>
        <v>0</v>
      </c>
      <c r="AD179" s="13">
        <f t="shared" si="191"/>
        <v>0</v>
      </c>
      <c r="AE179" s="13">
        <f t="shared" si="191"/>
        <v>0</v>
      </c>
      <c r="AF179" s="36"/>
      <c r="AG179" s="15"/>
      <c r="AH179" s="15"/>
      <c r="AI179" s="15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</row>
    <row r="180" spans="1:62" ht="37.5" x14ac:dyDescent="0.3">
      <c r="A180" s="22" t="s">
        <v>28</v>
      </c>
      <c r="B180" s="28">
        <f>H180+J180+L180+N180+P180+R180+T180+V180+X180+Z180+AB180+AD180</f>
        <v>0</v>
      </c>
      <c r="C180" s="29">
        <f>H180</f>
        <v>0</v>
      </c>
      <c r="D180" s="29"/>
      <c r="E180" s="28">
        <f>I180+K180+M180+O180+Q180+S180+U180+W180+Y180+AA180+AC180+AE180</f>
        <v>0</v>
      </c>
      <c r="F180" s="24" t="e">
        <f>E180/B180*100</f>
        <v>#DIV/0!</v>
      </c>
      <c r="G180" s="24" t="e">
        <f>E180/C180*100</f>
        <v>#DIV/0!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36" t="s">
        <v>66</v>
      </c>
      <c r="AG180" s="15"/>
      <c r="AH180" s="15"/>
      <c r="AI180" s="15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</row>
    <row r="181" spans="1:62" ht="18.75" x14ac:dyDescent="0.3">
      <c r="A181" s="22" t="s">
        <v>29</v>
      </c>
      <c r="B181" s="28">
        <f>H181+J181+L181+N181+P181+R181+T181+V181+X181+Z181+AB181+AD181</f>
        <v>813.3</v>
      </c>
      <c r="C181" s="29">
        <f>H181+J181+L181+N181+P181+R181+X181+Z181</f>
        <v>813.3</v>
      </c>
      <c r="D181" s="29">
        <f>E181</f>
        <v>297</v>
      </c>
      <c r="E181" s="28">
        <f>I181+K181+M181+O181+Q181+S181+U181+W181+Y181+AA181+AC181+AE181</f>
        <v>297</v>
      </c>
      <c r="F181" s="24">
        <f>E181/B181*100</f>
        <v>36.517890077462198</v>
      </c>
      <c r="G181" s="24">
        <f>E181/C181*100</f>
        <v>36.517890077462198</v>
      </c>
      <c r="H181" s="13"/>
      <c r="I181" s="13"/>
      <c r="J181" s="13">
        <v>3.3</v>
      </c>
      <c r="K181" s="13">
        <v>3.3</v>
      </c>
      <c r="L181" s="23">
        <v>67.7</v>
      </c>
      <c r="M181" s="13">
        <v>32</v>
      </c>
      <c r="N181" s="13">
        <v>127</v>
      </c>
      <c r="O181" s="13"/>
      <c r="P181" s="13"/>
      <c r="Q181" s="13"/>
      <c r="R181" s="13">
        <v>280</v>
      </c>
      <c r="S181" s="13">
        <v>47</v>
      </c>
      <c r="T181" s="13"/>
      <c r="U181" s="13"/>
      <c r="V181" s="13"/>
      <c r="W181" s="13"/>
      <c r="X181" s="13"/>
      <c r="Y181" s="13"/>
      <c r="Z181" s="13">
        <v>335.3</v>
      </c>
      <c r="AA181" s="13">
        <v>214.7</v>
      </c>
      <c r="AB181" s="23"/>
      <c r="AC181" s="13"/>
      <c r="AD181" s="13"/>
      <c r="AE181" s="13"/>
      <c r="AF181" s="36"/>
      <c r="AG181" s="15"/>
      <c r="AH181" s="15"/>
      <c r="AI181" s="15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</row>
    <row r="182" spans="1:62" ht="18.75" x14ac:dyDescent="0.3">
      <c r="A182" s="22" t="s">
        <v>30</v>
      </c>
      <c r="B182" s="28">
        <f t="shared" ref="B182:B183" si="192">H182+J182+L182+N182+P182+R182+T182+V182+X182+Z182+AB182+AD182</f>
        <v>0</v>
      </c>
      <c r="C182" s="29">
        <f t="shared" ref="C182:C183" si="193">H182</f>
        <v>0</v>
      </c>
      <c r="D182" s="29"/>
      <c r="E182" s="28">
        <f t="shared" ref="E182:E183" si="194">I182+K182+M182+O182+Q182+S182+U182+W182+Y182+AA182+AC182+AE182</f>
        <v>0</v>
      </c>
      <c r="F182" s="24" t="e">
        <f t="shared" ref="F182:F183" si="195">E182/B182*100</f>
        <v>#DIV/0!</v>
      </c>
      <c r="G182" s="24" t="e">
        <f t="shared" ref="G182:G183" si="196">E182/C182*100</f>
        <v>#DIV/0!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36"/>
      <c r="AG182" s="15"/>
      <c r="AH182" s="15"/>
      <c r="AI182" s="15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</row>
    <row r="183" spans="1:62" ht="18.75" x14ac:dyDescent="0.3">
      <c r="A183" s="22" t="s">
        <v>31</v>
      </c>
      <c r="B183" s="28">
        <f t="shared" si="192"/>
        <v>0</v>
      </c>
      <c r="C183" s="29">
        <f t="shared" si="193"/>
        <v>0</v>
      </c>
      <c r="D183" s="29"/>
      <c r="E183" s="28">
        <f t="shared" si="194"/>
        <v>0</v>
      </c>
      <c r="F183" s="24" t="e">
        <f t="shared" si="195"/>
        <v>#DIV/0!</v>
      </c>
      <c r="G183" s="24" t="e">
        <f t="shared" si="196"/>
        <v>#DIV/0!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36"/>
      <c r="AG183" s="15"/>
      <c r="AH183" s="15"/>
      <c r="AI183" s="15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</row>
    <row r="184" spans="1:62" ht="18.75" x14ac:dyDescent="0.25">
      <c r="A184" s="105" t="s">
        <v>67</v>
      </c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7"/>
      <c r="AF184" s="36"/>
      <c r="AG184" s="15"/>
      <c r="AH184" s="15"/>
      <c r="AI184" s="15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</row>
    <row r="185" spans="1:62" ht="18.75" x14ac:dyDescent="0.3">
      <c r="A185" s="19" t="s">
        <v>27</v>
      </c>
      <c r="B185" s="27">
        <f>H185+J185+L185+N185+P185+R185+T185+V185+X185+Z185+AB185+AD185</f>
        <v>150</v>
      </c>
      <c r="C185" s="27">
        <f>C186+C187+C188+C189</f>
        <v>0</v>
      </c>
      <c r="D185" s="27">
        <f>D186+D187+D188+D189</f>
        <v>0</v>
      </c>
      <c r="E185" s="27">
        <f>E186+E187+E188+E189</f>
        <v>0</v>
      </c>
      <c r="F185" s="21">
        <f>E185/B185*100</f>
        <v>0</v>
      </c>
      <c r="G185" s="21" t="e">
        <f>E185/C185*100</f>
        <v>#DIV/0!</v>
      </c>
      <c r="H185" s="13">
        <f>H186+H187+H188+H189</f>
        <v>0</v>
      </c>
      <c r="I185" s="13">
        <f t="shared" ref="I185:AE185" si="197">I186+I187+I188+I189</f>
        <v>0</v>
      </c>
      <c r="J185" s="13">
        <f t="shared" si="197"/>
        <v>0</v>
      </c>
      <c r="K185" s="13">
        <f t="shared" si="197"/>
        <v>0</v>
      </c>
      <c r="L185" s="13">
        <f t="shared" si="197"/>
        <v>0</v>
      </c>
      <c r="M185" s="13">
        <f t="shared" si="197"/>
        <v>0</v>
      </c>
      <c r="N185" s="13">
        <f t="shared" si="197"/>
        <v>0</v>
      </c>
      <c r="O185" s="13">
        <f t="shared" si="197"/>
        <v>0</v>
      </c>
      <c r="P185" s="13">
        <f t="shared" si="197"/>
        <v>0</v>
      </c>
      <c r="Q185" s="13">
        <f t="shared" si="197"/>
        <v>0</v>
      </c>
      <c r="R185" s="13">
        <f t="shared" si="197"/>
        <v>0</v>
      </c>
      <c r="S185" s="13">
        <f t="shared" si="197"/>
        <v>0</v>
      </c>
      <c r="T185" s="13">
        <f t="shared" si="197"/>
        <v>0</v>
      </c>
      <c r="U185" s="13">
        <f t="shared" si="197"/>
        <v>0</v>
      </c>
      <c r="V185" s="13">
        <f t="shared" si="197"/>
        <v>0</v>
      </c>
      <c r="W185" s="13">
        <f t="shared" si="197"/>
        <v>0</v>
      </c>
      <c r="X185" s="13">
        <f t="shared" si="197"/>
        <v>0</v>
      </c>
      <c r="Y185" s="13">
        <f t="shared" si="197"/>
        <v>0</v>
      </c>
      <c r="Z185" s="13">
        <f t="shared" si="197"/>
        <v>0</v>
      </c>
      <c r="AA185" s="13">
        <f t="shared" si="197"/>
        <v>0</v>
      </c>
      <c r="AB185" s="13">
        <f t="shared" si="197"/>
        <v>0</v>
      </c>
      <c r="AC185" s="13">
        <f t="shared" si="197"/>
        <v>0</v>
      </c>
      <c r="AD185" s="13">
        <f t="shared" si="197"/>
        <v>150</v>
      </c>
      <c r="AE185" s="13">
        <f t="shared" si="197"/>
        <v>0</v>
      </c>
      <c r="AF185" s="36"/>
      <c r="AG185" s="15"/>
      <c r="AH185" s="15"/>
      <c r="AI185" s="15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</row>
    <row r="186" spans="1:62" ht="18.75" x14ac:dyDescent="0.3">
      <c r="A186" s="22" t="s">
        <v>28</v>
      </c>
      <c r="B186" s="28">
        <f>H186+J186+L186+N186+P186+R186+T186+V186+X186+Z186+AB186+AD186</f>
        <v>0</v>
      </c>
      <c r="C186" s="29">
        <f>H186</f>
        <v>0</v>
      </c>
      <c r="D186" s="29"/>
      <c r="E186" s="28">
        <f>I186+K186+M186+O186+Q186+S186+U186+W186+Y186+AA186+AC186+AE186</f>
        <v>0</v>
      </c>
      <c r="F186" s="24" t="e">
        <f>E186/B186*100</f>
        <v>#DIV/0!</v>
      </c>
      <c r="G186" s="24" t="e">
        <f>E186/C186*100</f>
        <v>#DIV/0!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36"/>
      <c r="AG186" s="15"/>
      <c r="AH186" s="15"/>
      <c r="AI186" s="15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</row>
    <row r="187" spans="1:62" ht="18.75" x14ac:dyDescent="0.3">
      <c r="A187" s="22" t="s">
        <v>29</v>
      </c>
      <c r="B187" s="28">
        <f>H187+J187+L187+N187+P187+R187+T187+V187+X187+Z187+AB187+AD187</f>
        <v>150</v>
      </c>
      <c r="C187" s="29">
        <f>H187</f>
        <v>0</v>
      </c>
      <c r="D187" s="29">
        <f>E187</f>
        <v>0</v>
      </c>
      <c r="E187" s="28">
        <f>I187+K187+M187+O187+Q187+S187+U187+W187+Y187+AA187+AC187+AE187</f>
        <v>0</v>
      </c>
      <c r="F187" s="24">
        <f>E187/B187*100</f>
        <v>0</v>
      </c>
      <c r="G187" s="24" t="e">
        <f>E187/C187*100</f>
        <v>#DIV/0!</v>
      </c>
      <c r="H187" s="13"/>
      <c r="I187" s="13"/>
      <c r="J187" s="13"/>
      <c r="K187" s="13"/>
      <c r="L187" s="2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23"/>
      <c r="AC187" s="13"/>
      <c r="AD187" s="13">
        <v>150</v>
      </c>
      <c r="AE187" s="13"/>
      <c r="AF187" s="36"/>
      <c r="AG187" s="15"/>
      <c r="AH187" s="15"/>
      <c r="AI187" s="15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</row>
    <row r="188" spans="1:62" ht="18.75" x14ac:dyDescent="0.3">
      <c r="A188" s="22" t="s">
        <v>30</v>
      </c>
      <c r="B188" s="28">
        <f t="shared" ref="B188:B189" si="198">H188+J188+L188+N188+P188+R188+T188+V188+X188+Z188+AB188+AD188</f>
        <v>0</v>
      </c>
      <c r="C188" s="29">
        <f t="shared" ref="C188:C189" si="199">H188</f>
        <v>0</v>
      </c>
      <c r="D188" s="29"/>
      <c r="E188" s="28">
        <f t="shared" ref="E188:E189" si="200">I188+K188+M188+O188+Q188+S188+U188+W188+Y188+AA188+AC188+AE188</f>
        <v>0</v>
      </c>
      <c r="F188" s="24" t="e">
        <f t="shared" ref="F188:F189" si="201">E188/B188*100</f>
        <v>#DIV/0!</v>
      </c>
      <c r="G188" s="24" t="e">
        <f t="shared" ref="G188:G189" si="202">E188/C188*100</f>
        <v>#DIV/0!</v>
      </c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36"/>
      <c r="AG188" s="15"/>
      <c r="AH188" s="15"/>
      <c r="AI188" s="15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</row>
    <row r="189" spans="1:62" ht="18.75" x14ac:dyDescent="0.3">
      <c r="A189" s="22" t="s">
        <v>31</v>
      </c>
      <c r="B189" s="28">
        <f t="shared" si="198"/>
        <v>0</v>
      </c>
      <c r="C189" s="29">
        <f t="shared" si="199"/>
        <v>0</v>
      </c>
      <c r="D189" s="29"/>
      <c r="E189" s="28">
        <f t="shared" si="200"/>
        <v>0</v>
      </c>
      <c r="F189" s="24" t="e">
        <f t="shared" si="201"/>
        <v>#DIV/0!</v>
      </c>
      <c r="G189" s="24" t="e">
        <f t="shared" si="202"/>
        <v>#DIV/0!</v>
      </c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36"/>
      <c r="AG189" s="15"/>
      <c r="AH189" s="15"/>
      <c r="AI189" s="15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</row>
    <row r="190" spans="1:62" ht="20.25" x14ac:dyDescent="0.25">
      <c r="A190" s="108" t="s">
        <v>68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10"/>
      <c r="AF190" s="36"/>
      <c r="AG190" s="15"/>
      <c r="AH190" s="15"/>
      <c r="AI190" s="15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</row>
    <row r="191" spans="1:62" ht="18.75" x14ac:dyDescent="0.3">
      <c r="A191" s="19" t="s">
        <v>27</v>
      </c>
      <c r="B191" s="7">
        <f>B192+B193+B194+B195</f>
        <v>34719.599999999999</v>
      </c>
      <c r="C191" s="7">
        <f t="shared" ref="C191:E191" si="203">C192+C193+C194+C195</f>
        <v>29813.7</v>
      </c>
      <c r="D191" s="7">
        <f t="shared" si="203"/>
        <v>27259.239999999998</v>
      </c>
      <c r="E191" s="7">
        <f t="shared" si="203"/>
        <v>27259.239999999998</v>
      </c>
      <c r="F191" s="21">
        <f>E191/B191*100</f>
        <v>78.51254046705607</v>
      </c>
      <c r="G191" s="21">
        <f>E191/C191*100</f>
        <v>91.431925591255009</v>
      </c>
      <c r="H191" s="13">
        <f t="shared" ref="H191:AD191" si="204">H192+H193+H194+H195</f>
        <v>2945.3</v>
      </c>
      <c r="I191" s="13">
        <f>I192+I193+I194+I195</f>
        <v>1558.4</v>
      </c>
      <c r="J191" s="13">
        <f t="shared" si="204"/>
        <v>3576.4</v>
      </c>
      <c r="K191" s="13">
        <f>K192+K193+K194+K195</f>
        <v>3745.5</v>
      </c>
      <c r="L191" s="13">
        <f t="shared" si="204"/>
        <v>2920.7</v>
      </c>
      <c r="M191" s="13">
        <f>M192+M193+M194+M195</f>
        <v>2471.6999999999998</v>
      </c>
      <c r="N191" s="13">
        <f t="shared" si="204"/>
        <v>3170</v>
      </c>
      <c r="O191" s="13">
        <f>O192+O193+O194+O195</f>
        <v>3280.1</v>
      </c>
      <c r="P191" s="13">
        <f t="shared" si="204"/>
        <v>2998.9</v>
      </c>
      <c r="Q191" s="13">
        <f>Q192+Q193+Q194+Q195</f>
        <v>2164.9</v>
      </c>
      <c r="R191" s="13">
        <f t="shared" si="204"/>
        <v>3292.4</v>
      </c>
      <c r="S191" s="13">
        <f>S192+S193+S194+S195</f>
        <v>3188.7</v>
      </c>
      <c r="T191" s="13">
        <f t="shared" si="204"/>
        <v>3428.2</v>
      </c>
      <c r="U191" s="13">
        <f>U192+U193+U194+U195</f>
        <v>3428.2</v>
      </c>
      <c r="V191" s="13">
        <f t="shared" si="204"/>
        <v>2079.1999999999998</v>
      </c>
      <c r="W191" s="13">
        <f>W192+W193+W194+W195</f>
        <v>2155.3000000000002</v>
      </c>
      <c r="X191" s="13">
        <f t="shared" si="204"/>
        <v>2133.3000000000002</v>
      </c>
      <c r="Y191" s="13">
        <f>Y192+Y193+Y194+Y195</f>
        <v>1932.7</v>
      </c>
      <c r="Z191" s="13">
        <f t="shared" si="204"/>
        <v>3269.3</v>
      </c>
      <c r="AA191" s="13">
        <f>AA192+AA193+AA194+AA195</f>
        <v>3333.74</v>
      </c>
      <c r="AB191" s="13">
        <f t="shared" si="204"/>
        <v>2402.3000000000002</v>
      </c>
      <c r="AC191" s="13">
        <f>AC192+AC193+AC194+AC195</f>
        <v>0</v>
      </c>
      <c r="AD191" s="13">
        <f t="shared" si="204"/>
        <v>2503.6</v>
      </c>
      <c r="AE191" s="13">
        <f>AE192+AE193+AE194+AE195</f>
        <v>0</v>
      </c>
      <c r="AF191" s="111" t="s">
        <v>69</v>
      </c>
      <c r="AG191" s="15"/>
      <c r="AH191" s="15"/>
      <c r="AI191" s="15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</row>
    <row r="192" spans="1:62" ht="18.75" x14ac:dyDescent="0.3">
      <c r="A192" s="22" t="s">
        <v>28</v>
      </c>
      <c r="B192" s="46"/>
      <c r="C192" s="13"/>
      <c r="D192" s="46"/>
      <c r="E192" s="46"/>
      <c r="F192" s="46"/>
      <c r="G192" s="4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12"/>
      <c r="AG192" s="15"/>
      <c r="AH192" s="15"/>
      <c r="AI192" s="15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</row>
    <row r="193" spans="1:62" ht="18.75" x14ac:dyDescent="0.3">
      <c r="A193" s="22" t="s">
        <v>29</v>
      </c>
      <c r="B193" s="30">
        <f>B199</f>
        <v>34719.599999999999</v>
      </c>
      <c r="C193" s="30">
        <f>C199</f>
        <v>29813.7</v>
      </c>
      <c r="D193" s="30">
        <f t="shared" ref="D193:E193" si="205">D199</f>
        <v>27259.239999999998</v>
      </c>
      <c r="E193" s="30">
        <f t="shared" si="205"/>
        <v>27259.239999999998</v>
      </c>
      <c r="F193" s="24">
        <f>E193/B193*100</f>
        <v>78.51254046705607</v>
      </c>
      <c r="G193" s="24">
        <f>E193/C193*100</f>
        <v>91.431925591255009</v>
      </c>
      <c r="H193" s="23">
        <f>H199</f>
        <v>2945.3</v>
      </c>
      <c r="I193" s="23">
        <f t="shared" ref="I193:AE193" si="206">I199</f>
        <v>1558.4</v>
      </c>
      <c r="J193" s="23">
        <f t="shared" si="206"/>
        <v>3576.4</v>
      </c>
      <c r="K193" s="23">
        <f t="shared" si="206"/>
        <v>3745.5</v>
      </c>
      <c r="L193" s="23">
        <f t="shared" si="206"/>
        <v>2920.7</v>
      </c>
      <c r="M193" s="23">
        <f t="shared" si="206"/>
        <v>2471.6999999999998</v>
      </c>
      <c r="N193" s="23">
        <f t="shared" si="206"/>
        <v>3170</v>
      </c>
      <c r="O193" s="23">
        <f t="shared" si="206"/>
        <v>3280.1</v>
      </c>
      <c r="P193" s="23">
        <f t="shared" si="206"/>
        <v>2998.9</v>
      </c>
      <c r="Q193" s="23">
        <f t="shared" si="206"/>
        <v>2164.9</v>
      </c>
      <c r="R193" s="23">
        <f t="shared" si="206"/>
        <v>3292.4</v>
      </c>
      <c r="S193" s="23">
        <f t="shared" si="206"/>
        <v>3188.7</v>
      </c>
      <c r="T193" s="23">
        <f t="shared" si="206"/>
        <v>3428.2</v>
      </c>
      <c r="U193" s="23">
        <f t="shared" si="206"/>
        <v>3428.2</v>
      </c>
      <c r="V193" s="23">
        <f t="shared" si="206"/>
        <v>2079.1999999999998</v>
      </c>
      <c r="W193" s="23">
        <f t="shared" si="206"/>
        <v>2155.3000000000002</v>
      </c>
      <c r="X193" s="23">
        <f t="shared" si="206"/>
        <v>2133.3000000000002</v>
      </c>
      <c r="Y193" s="23">
        <f t="shared" si="206"/>
        <v>1932.7</v>
      </c>
      <c r="Z193" s="23">
        <f t="shared" si="206"/>
        <v>3269.3</v>
      </c>
      <c r="AA193" s="23">
        <f t="shared" si="206"/>
        <v>3333.74</v>
      </c>
      <c r="AB193" s="23">
        <f t="shared" si="206"/>
        <v>2402.3000000000002</v>
      </c>
      <c r="AC193" s="23">
        <f t="shared" si="206"/>
        <v>0</v>
      </c>
      <c r="AD193" s="23">
        <f t="shared" si="206"/>
        <v>2503.6</v>
      </c>
      <c r="AE193" s="23">
        <f t="shared" si="206"/>
        <v>0</v>
      </c>
      <c r="AF193" s="112"/>
      <c r="AG193" s="15"/>
      <c r="AH193" s="15"/>
      <c r="AI193" s="15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</row>
    <row r="194" spans="1:62" ht="18.75" x14ac:dyDescent="0.3">
      <c r="A194" s="22" t="s">
        <v>30</v>
      </c>
      <c r="B194" s="46"/>
      <c r="C194" s="46"/>
      <c r="D194" s="46"/>
      <c r="E194" s="46"/>
      <c r="F194" s="46"/>
      <c r="G194" s="4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12"/>
      <c r="AG194" s="15"/>
      <c r="AH194" s="15"/>
      <c r="AI194" s="15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</row>
    <row r="195" spans="1:62" ht="18.75" x14ac:dyDescent="0.3">
      <c r="A195" s="22" t="s">
        <v>31</v>
      </c>
      <c r="B195" s="46"/>
      <c r="C195" s="46"/>
      <c r="D195" s="46"/>
      <c r="E195" s="46"/>
      <c r="F195" s="46"/>
      <c r="G195" s="4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12"/>
      <c r="AG195" s="15"/>
      <c r="AH195" s="15"/>
      <c r="AI195" s="15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</row>
    <row r="196" spans="1:62" ht="18.75" x14ac:dyDescent="0.25">
      <c r="A196" s="105" t="s">
        <v>70</v>
      </c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7"/>
      <c r="AF196" s="112"/>
      <c r="AG196" s="15"/>
      <c r="AH196" s="15"/>
      <c r="AI196" s="15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</row>
    <row r="197" spans="1:62" ht="18.75" x14ac:dyDescent="0.3">
      <c r="A197" s="19" t="s">
        <v>27</v>
      </c>
      <c r="B197" s="13">
        <f>H197+J197+L197+N197+P197+R197+T197+V197+X197+Z197+AB197+AD197</f>
        <v>34719.599999999999</v>
      </c>
      <c r="C197" s="13">
        <f>C198+C199+C200+C201</f>
        <v>29813.7</v>
      </c>
      <c r="D197" s="13">
        <f>D198+D199+D200+D201</f>
        <v>27259.239999999998</v>
      </c>
      <c r="E197" s="13">
        <f>E198+E199+E200+E201</f>
        <v>27259.239999999998</v>
      </c>
      <c r="F197" s="21">
        <f>E197/B197*100</f>
        <v>78.51254046705607</v>
      </c>
      <c r="G197" s="21">
        <f>E197/C197*100</f>
        <v>91.431925591255009</v>
      </c>
      <c r="H197" s="13">
        <f t="shared" ref="H197:AE197" si="207">H198+H199+H200+H201</f>
        <v>2945.3</v>
      </c>
      <c r="I197" s="13">
        <f t="shared" si="207"/>
        <v>1558.4</v>
      </c>
      <c r="J197" s="13">
        <f t="shared" si="207"/>
        <v>3576.4</v>
      </c>
      <c r="K197" s="13">
        <f t="shared" si="207"/>
        <v>3745.5</v>
      </c>
      <c r="L197" s="13">
        <f t="shared" si="207"/>
        <v>2920.7</v>
      </c>
      <c r="M197" s="13">
        <f t="shared" si="207"/>
        <v>2471.6999999999998</v>
      </c>
      <c r="N197" s="13">
        <f t="shared" si="207"/>
        <v>3170</v>
      </c>
      <c r="O197" s="13">
        <f t="shared" si="207"/>
        <v>3280.1</v>
      </c>
      <c r="P197" s="13">
        <f t="shared" si="207"/>
        <v>2998.9</v>
      </c>
      <c r="Q197" s="13">
        <f t="shared" si="207"/>
        <v>2164.9</v>
      </c>
      <c r="R197" s="13">
        <f t="shared" si="207"/>
        <v>3292.4</v>
      </c>
      <c r="S197" s="13">
        <f t="shared" si="207"/>
        <v>3188.7</v>
      </c>
      <c r="T197" s="13">
        <f t="shared" si="207"/>
        <v>3428.2</v>
      </c>
      <c r="U197" s="13">
        <f t="shared" si="207"/>
        <v>3428.2</v>
      </c>
      <c r="V197" s="13">
        <f t="shared" si="207"/>
        <v>2079.1999999999998</v>
      </c>
      <c r="W197" s="13">
        <f t="shared" si="207"/>
        <v>2155.3000000000002</v>
      </c>
      <c r="X197" s="13">
        <f t="shared" si="207"/>
        <v>2133.3000000000002</v>
      </c>
      <c r="Y197" s="13">
        <f t="shared" si="207"/>
        <v>1932.7</v>
      </c>
      <c r="Z197" s="13">
        <f t="shared" si="207"/>
        <v>3269.3</v>
      </c>
      <c r="AA197" s="13">
        <f t="shared" si="207"/>
        <v>3333.74</v>
      </c>
      <c r="AB197" s="13">
        <f t="shared" si="207"/>
        <v>2402.3000000000002</v>
      </c>
      <c r="AC197" s="13">
        <f t="shared" si="207"/>
        <v>0</v>
      </c>
      <c r="AD197" s="13">
        <f t="shared" si="207"/>
        <v>2503.6</v>
      </c>
      <c r="AE197" s="13">
        <f t="shared" si="207"/>
        <v>0</v>
      </c>
      <c r="AF197" s="112"/>
      <c r="AG197" s="15"/>
      <c r="AH197" s="15"/>
      <c r="AI197" s="15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</row>
    <row r="198" spans="1:62" ht="18.75" x14ac:dyDescent="0.3">
      <c r="A198" s="22" t="s">
        <v>28</v>
      </c>
      <c r="B198" s="46"/>
      <c r="C198" s="46"/>
      <c r="D198" s="46"/>
      <c r="E198" s="46"/>
      <c r="F198" s="46"/>
      <c r="G198" s="4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12"/>
      <c r="AG198" s="15"/>
      <c r="AH198" s="15"/>
      <c r="AI198" s="15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</row>
    <row r="199" spans="1:62" ht="18.75" x14ac:dyDescent="0.3">
      <c r="A199" s="47" t="s">
        <v>29</v>
      </c>
      <c r="B199" s="30">
        <f>H199+J199+L199+N199+P199+R199+T199+V199+X199+Z199+AB199+AD199</f>
        <v>34719.599999999999</v>
      </c>
      <c r="C199" s="30">
        <f>H199+J199+L199+N199+P199+R199+T199+V199+X199+Z199</f>
        <v>29813.7</v>
      </c>
      <c r="D199" s="23">
        <f>E199</f>
        <v>27259.239999999998</v>
      </c>
      <c r="E199" s="30">
        <f>I199+K199+M199+O199+Q199+S199+U199+W199+Y199+AA199+AC199+AE199</f>
        <v>27259.239999999998</v>
      </c>
      <c r="F199" s="24">
        <f>E199/B199*100</f>
        <v>78.51254046705607</v>
      </c>
      <c r="G199" s="24">
        <f>E199/C199*100</f>
        <v>91.431925591255009</v>
      </c>
      <c r="H199" s="30">
        <v>2945.3</v>
      </c>
      <c r="I199" s="30">
        <v>1558.4</v>
      </c>
      <c r="J199" s="30">
        <v>3576.4</v>
      </c>
      <c r="K199" s="30">
        <v>3745.5</v>
      </c>
      <c r="L199" s="30">
        <v>2920.7</v>
      </c>
      <c r="M199" s="30">
        <v>2471.6999999999998</v>
      </c>
      <c r="N199" s="30">
        <v>3170</v>
      </c>
      <c r="O199" s="30">
        <v>3280.1</v>
      </c>
      <c r="P199" s="30">
        <v>2998.9</v>
      </c>
      <c r="Q199" s="30">
        <v>2164.9</v>
      </c>
      <c r="R199" s="30">
        <v>3292.4</v>
      </c>
      <c r="S199" s="30">
        <v>3188.7</v>
      </c>
      <c r="T199" s="30">
        <v>3428.2</v>
      </c>
      <c r="U199" s="30">
        <v>3428.2</v>
      </c>
      <c r="V199" s="30">
        <v>2079.1999999999998</v>
      </c>
      <c r="W199" s="30">
        <v>2155.3000000000002</v>
      </c>
      <c r="X199" s="30">
        <v>2133.3000000000002</v>
      </c>
      <c r="Y199" s="30">
        <v>1932.7</v>
      </c>
      <c r="Z199" s="30">
        <v>3269.3</v>
      </c>
      <c r="AA199" s="30">
        <v>3333.74</v>
      </c>
      <c r="AB199" s="30">
        <v>2402.3000000000002</v>
      </c>
      <c r="AC199" s="30"/>
      <c r="AD199" s="30">
        <v>2503.6</v>
      </c>
      <c r="AE199" s="30"/>
      <c r="AF199" s="113"/>
      <c r="AG199" s="15"/>
      <c r="AH199" s="15"/>
      <c r="AI199" s="15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</row>
    <row r="200" spans="1:62" ht="18.75" x14ac:dyDescent="0.3">
      <c r="A200" s="22" t="s">
        <v>30</v>
      </c>
      <c r="B200" s="46"/>
      <c r="C200" s="46"/>
      <c r="D200" s="46"/>
      <c r="E200" s="46"/>
      <c r="F200" s="46"/>
      <c r="G200" s="46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36"/>
      <c r="AG200" s="15"/>
      <c r="AH200" s="15"/>
      <c r="AI200" s="15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</row>
    <row r="201" spans="1:62" ht="18.75" x14ac:dyDescent="0.3">
      <c r="A201" s="22" t="s">
        <v>31</v>
      </c>
      <c r="B201" s="46"/>
      <c r="C201" s="46"/>
      <c r="D201" s="46"/>
      <c r="E201" s="46"/>
      <c r="F201" s="46"/>
      <c r="G201" s="46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36"/>
      <c r="AG201" s="15"/>
      <c r="AH201" s="15"/>
      <c r="AI201" s="15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</row>
    <row r="202" spans="1:62" ht="20.25" x14ac:dyDescent="0.25">
      <c r="A202" s="108" t="s">
        <v>71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10"/>
      <c r="AF202" s="36"/>
      <c r="AG202" s="15"/>
      <c r="AH202" s="15"/>
      <c r="AI202" s="15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</row>
    <row r="203" spans="1:62" ht="18.75" x14ac:dyDescent="0.3">
      <c r="A203" s="19" t="s">
        <v>27</v>
      </c>
      <c r="B203" s="49">
        <f>B204</f>
        <v>11</v>
      </c>
      <c r="C203" s="49">
        <f t="shared" ref="C203:AE203" si="208">C204</f>
        <v>9</v>
      </c>
      <c r="D203" s="49">
        <f t="shared" si="208"/>
        <v>9</v>
      </c>
      <c r="E203" s="49">
        <f t="shared" si="208"/>
        <v>9</v>
      </c>
      <c r="F203" s="50">
        <f>E203/B203*100</f>
        <v>81.818181818181827</v>
      </c>
      <c r="G203" s="50">
        <f>E203/C203*100</f>
        <v>100</v>
      </c>
      <c r="H203" s="51">
        <f t="shared" si="208"/>
        <v>2</v>
      </c>
      <c r="I203" s="51">
        <f t="shared" si="208"/>
        <v>0</v>
      </c>
      <c r="J203" s="51">
        <f t="shared" si="208"/>
        <v>2</v>
      </c>
      <c r="K203" s="51">
        <f t="shared" si="208"/>
        <v>0</v>
      </c>
      <c r="L203" s="51">
        <f t="shared" si="208"/>
        <v>0</v>
      </c>
      <c r="M203" s="51">
        <f t="shared" si="208"/>
        <v>0</v>
      </c>
      <c r="N203" s="51">
        <f t="shared" si="208"/>
        <v>3</v>
      </c>
      <c r="O203" s="51">
        <f t="shared" si="208"/>
        <v>2</v>
      </c>
      <c r="P203" s="51">
        <f t="shared" si="208"/>
        <v>0</v>
      </c>
      <c r="Q203" s="51">
        <f t="shared" si="208"/>
        <v>0</v>
      </c>
      <c r="R203" s="51">
        <f t="shared" si="208"/>
        <v>0</v>
      </c>
      <c r="S203" s="51">
        <f t="shared" si="208"/>
        <v>3</v>
      </c>
      <c r="T203" s="51">
        <f t="shared" si="208"/>
        <v>0</v>
      </c>
      <c r="U203" s="51">
        <f t="shared" si="208"/>
        <v>0</v>
      </c>
      <c r="V203" s="51">
        <f t="shared" si="208"/>
        <v>2</v>
      </c>
      <c r="W203" s="51">
        <f t="shared" si="208"/>
        <v>4</v>
      </c>
      <c r="X203" s="51">
        <f t="shared" si="208"/>
        <v>0</v>
      </c>
      <c r="Y203" s="51">
        <f t="shared" si="208"/>
        <v>0</v>
      </c>
      <c r="Z203" s="51">
        <f t="shared" si="208"/>
        <v>0</v>
      </c>
      <c r="AA203" s="51">
        <f t="shared" si="208"/>
        <v>0</v>
      </c>
      <c r="AB203" s="51">
        <f t="shared" si="208"/>
        <v>2</v>
      </c>
      <c r="AC203" s="51">
        <f t="shared" si="208"/>
        <v>0</v>
      </c>
      <c r="AD203" s="51">
        <f t="shared" si="208"/>
        <v>0</v>
      </c>
      <c r="AE203" s="51">
        <f t="shared" si="208"/>
        <v>0</v>
      </c>
      <c r="AF203" s="52"/>
      <c r="AG203" s="15"/>
      <c r="AH203" s="15"/>
      <c r="AI203" s="15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</row>
    <row r="204" spans="1:62" ht="18.75" x14ac:dyDescent="0.3">
      <c r="A204" s="22" t="s">
        <v>29</v>
      </c>
      <c r="B204" s="23">
        <f>B207</f>
        <v>11</v>
      </c>
      <c r="C204" s="23">
        <f t="shared" ref="C204:E204" si="209">C207</f>
        <v>9</v>
      </c>
      <c r="D204" s="23">
        <f t="shared" si="209"/>
        <v>9</v>
      </c>
      <c r="E204" s="23">
        <f t="shared" si="209"/>
        <v>9</v>
      </c>
      <c r="F204" s="53">
        <f>E204/B204*100</f>
        <v>81.818181818181827</v>
      </c>
      <c r="G204" s="53">
        <f>E204/C204*100</f>
        <v>100</v>
      </c>
      <c r="H204" s="23">
        <f>H207</f>
        <v>2</v>
      </c>
      <c r="I204" s="23">
        <f t="shared" ref="I204:AE204" si="210">I207</f>
        <v>0</v>
      </c>
      <c r="J204" s="23">
        <f t="shared" si="210"/>
        <v>2</v>
      </c>
      <c r="K204" s="23">
        <f t="shared" si="210"/>
        <v>0</v>
      </c>
      <c r="L204" s="23">
        <f t="shared" si="210"/>
        <v>0</v>
      </c>
      <c r="M204" s="23">
        <f t="shared" si="210"/>
        <v>0</v>
      </c>
      <c r="N204" s="23">
        <f t="shared" si="210"/>
        <v>3</v>
      </c>
      <c r="O204" s="23">
        <f t="shared" si="210"/>
        <v>2</v>
      </c>
      <c r="P204" s="23">
        <f t="shared" si="210"/>
        <v>0</v>
      </c>
      <c r="Q204" s="23">
        <f t="shared" si="210"/>
        <v>0</v>
      </c>
      <c r="R204" s="23">
        <f t="shared" si="210"/>
        <v>0</v>
      </c>
      <c r="S204" s="23">
        <f t="shared" si="210"/>
        <v>3</v>
      </c>
      <c r="T204" s="23">
        <f t="shared" si="210"/>
        <v>0</v>
      </c>
      <c r="U204" s="23">
        <f t="shared" si="210"/>
        <v>0</v>
      </c>
      <c r="V204" s="23">
        <f t="shared" si="210"/>
        <v>2</v>
      </c>
      <c r="W204" s="23">
        <f t="shared" si="210"/>
        <v>4</v>
      </c>
      <c r="X204" s="23">
        <f t="shared" si="210"/>
        <v>0</v>
      </c>
      <c r="Y204" s="23">
        <f t="shared" si="210"/>
        <v>0</v>
      </c>
      <c r="Z204" s="23">
        <f t="shared" si="210"/>
        <v>0</v>
      </c>
      <c r="AA204" s="23">
        <f t="shared" si="210"/>
        <v>0</v>
      </c>
      <c r="AB204" s="23">
        <f t="shared" si="210"/>
        <v>2</v>
      </c>
      <c r="AC204" s="23">
        <f t="shared" si="210"/>
        <v>0</v>
      </c>
      <c r="AD204" s="23">
        <f t="shared" si="210"/>
        <v>0</v>
      </c>
      <c r="AE204" s="23">
        <f t="shared" si="210"/>
        <v>0</v>
      </c>
      <c r="AF204" s="36"/>
      <c r="AG204" s="15"/>
      <c r="AH204" s="15"/>
      <c r="AI204" s="15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</row>
    <row r="205" spans="1:62" ht="18.75" x14ac:dyDescent="0.25">
      <c r="A205" s="105" t="s">
        <v>72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7"/>
      <c r="AF205" s="36"/>
      <c r="AG205" s="15"/>
      <c r="AH205" s="15"/>
      <c r="AI205" s="15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</row>
    <row r="206" spans="1:62" ht="18.75" x14ac:dyDescent="0.3">
      <c r="A206" s="19" t="s">
        <v>27</v>
      </c>
      <c r="B206" s="49">
        <f>B207</f>
        <v>11</v>
      </c>
      <c r="C206" s="49">
        <f t="shared" ref="C206:AE206" si="211">C207</f>
        <v>9</v>
      </c>
      <c r="D206" s="49">
        <f t="shared" si="211"/>
        <v>9</v>
      </c>
      <c r="E206" s="49">
        <f t="shared" si="211"/>
        <v>9</v>
      </c>
      <c r="F206" s="49">
        <f>E206/B206*100</f>
        <v>81.818181818181827</v>
      </c>
      <c r="G206" s="49">
        <f>E206/C206*100</f>
        <v>100</v>
      </c>
      <c r="H206" s="51">
        <f t="shared" si="211"/>
        <v>2</v>
      </c>
      <c r="I206" s="51">
        <f t="shared" si="211"/>
        <v>0</v>
      </c>
      <c r="J206" s="51">
        <f t="shared" si="211"/>
        <v>2</v>
      </c>
      <c r="K206" s="51">
        <f t="shared" si="211"/>
        <v>0</v>
      </c>
      <c r="L206" s="51">
        <f t="shared" si="211"/>
        <v>0</v>
      </c>
      <c r="M206" s="51">
        <f t="shared" si="211"/>
        <v>0</v>
      </c>
      <c r="N206" s="51">
        <f t="shared" si="211"/>
        <v>3</v>
      </c>
      <c r="O206" s="51">
        <f t="shared" si="211"/>
        <v>2</v>
      </c>
      <c r="P206" s="51">
        <f t="shared" si="211"/>
        <v>0</v>
      </c>
      <c r="Q206" s="51">
        <f t="shared" si="211"/>
        <v>0</v>
      </c>
      <c r="R206" s="51">
        <f t="shared" si="211"/>
        <v>0</v>
      </c>
      <c r="S206" s="51">
        <f t="shared" si="211"/>
        <v>3</v>
      </c>
      <c r="T206" s="51">
        <f t="shared" si="211"/>
        <v>0</v>
      </c>
      <c r="U206" s="51">
        <f t="shared" si="211"/>
        <v>0</v>
      </c>
      <c r="V206" s="51">
        <f t="shared" si="211"/>
        <v>2</v>
      </c>
      <c r="W206" s="51">
        <f t="shared" si="211"/>
        <v>4</v>
      </c>
      <c r="X206" s="51">
        <f t="shared" si="211"/>
        <v>0</v>
      </c>
      <c r="Y206" s="51">
        <f t="shared" si="211"/>
        <v>0</v>
      </c>
      <c r="Z206" s="51">
        <f t="shared" si="211"/>
        <v>0</v>
      </c>
      <c r="AA206" s="51">
        <f t="shared" si="211"/>
        <v>0</v>
      </c>
      <c r="AB206" s="51">
        <f t="shared" si="211"/>
        <v>2</v>
      </c>
      <c r="AC206" s="51">
        <f t="shared" si="211"/>
        <v>0</v>
      </c>
      <c r="AD206" s="51">
        <f t="shared" si="211"/>
        <v>0</v>
      </c>
      <c r="AE206" s="51">
        <f t="shared" si="211"/>
        <v>0</v>
      </c>
      <c r="AF206" s="52"/>
      <c r="AG206" s="15"/>
      <c r="AH206" s="15"/>
      <c r="AI206" s="15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</row>
    <row r="207" spans="1:62" ht="56.25" x14ac:dyDescent="0.3">
      <c r="A207" s="22" t="s">
        <v>29</v>
      </c>
      <c r="B207" s="23">
        <f>H207+J207+L207+N207+P207+R207+T207+V207+X207+Z207+AB207+AD207</f>
        <v>11</v>
      </c>
      <c r="C207" s="23">
        <f>H207+J207+L207+N207+V207</f>
        <v>9</v>
      </c>
      <c r="D207" s="23">
        <f>E207</f>
        <v>9</v>
      </c>
      <c r="E207" s="23">
        <f>I207+K207+M207+O207+Q207+S207+U207+W207+Y207+AA207+AC207+AE207</f>
        <v>9</v>
      </c>
      <c r="F207" s="54">
        <f>E207/B207*100</f>
        <v>81.818181818181827</v>
      </c>
      <c r="G207" s="54">
        <f>E207/C207*100</f>
        <v>100</v>
      </c>
      <c r="H207" s="13">
        <v>2</v>
      </c>
      <c r="I207" s="13"/>
      <c r="J207" s="13">
        <v>2</v>
      </c>
      <c r="K207" s="13"/>
      <c r="L207" s="13"/>
      <c r="M207" s="13"/>
      <c r="N207" s="13">
        <v>3</v>
      </c>
      <c r="O207" s="13">
        <v>2</v>
      </c>
      <c r="P207" s="13"/>
      <c r="Q207" s="13"/>
      <c r="R207" s="13"/>
      <c r="S207" s="13">
        <v>3</v>
      </c>
      <c r="T207" s="13"/>
      <c r="U207" s="13"/>
      <c r="V207" s="13">
        <v>2</v>
      </c>
      <c r="W207" s="13">
        <v>4</v>
      </c>
      <c r="X207" s="13"/>
      <c r="Y207" s="13"/>
      <c r="Z207" s="13"/>
      <c r="AA207" s="13"/>
      <c r="AB207" s="13">
        <v>2</v>
      </c>
      <c r="AC207" s="13"/>
      <c r="AD207" s="13"/>
      <c r="AE207" s="13"/>
      <c r="AF207" s="36" t="s">
        <v>73</v>
      </c>
      <c r="AG207" s="15"/>
      <c r="AH207" s="15"/>
      <c r="AI207" s="15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</row>
    <row r="208" spans="1:62" ht="202.5" x14ac:dyDescent="0.25">
      <c r="A208" s="98" t="s">
        <v>96</v>
      </c>
      <c r="B208" s="23"/>
      <c r="C208" s="23"/>
      <c r="D208" s="23"/>
      <c r="E208" s="23"/>
      <c r="F208" s="54"/>
      <c r="G208" s="54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36"/>
      <c r="AG208" s="15"/>
      <c r="AH208" s="15"/>
      <c r="AI208" s="15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</row>
    <row r="209" spans="1:62" ht="18.75" x14ac:dyDescent="0.3">
      <c r="A209" s="19" t="s">
        <v>27</v>
      </c>
      <c r="B209" s="49">
        <f>B210</f>
        <v>5919.7</v>
      </c>
      <c r="C209" s="49">
        <f>C210</f>
        <v>5919.7</v>
      </c>
      <c r="D209" s="49">
        <f>D210</f>
        <v>5919.7</v>
      </c>
      <c r="E209" s="49">
        <f>E210</f>
        <v>5919.7</v>
      </c>
      <c r="F209" s="50">
        <f>E209/B209*100</f>
        <v>100</v>
      </c>
      <c r="G209" s="50">
        <f>E209/C209*100</f>
        <v>100</v>
      </c>
      <c r="H209" s="71">
        <f t="shared" ref="H209:AE209" si="212">H210</f>
        <v>0</v>
      </c>
      <c r="I209" s="71">
        <f t="shared" si="212"/>
        <v>0</v>
      </c>
      <c r="J209" s="71">
        <f t="shared" si="212"/>
        <v>0</v>
      </c>
      <c r="K209" s="71">
        <f t="shared" si="212"/>
        <v>0</v>
      </c>
      <c r="L209" s="71">
        <f t="shared" si="212"/>
        <v>0</v>
      </c>
      <c r="M209" s="71">
        <f t="shared" si="212"/>
        <v>0</v>
      </c>
      <c r="N209" s="71">
        <f t="shared" si="212"/>
        <v>0</v>
      </c>
      <c r="O209" s="71">
        <f t="shared" si="212"/>
        <v>0</v>
      </c>
      <c r="P209" s="71">
        <f t="shared" si="212"/>
        <v>0</v>
      </c>
      <c r="Q209" s="71">
        <f t="shared" si="212"/>
        <v>0</v>
      </c>
      <c r="R209" s="71">
        <f t="shared" si="212"/>
        <v>0</v>
      </c>
      <c r="S209" s="71">
        <f t="shared" si="212"/>
        <v>0</v>
      </c>
      <c r="T209" s="71">
        <f t="shared" si="212"/>
        <v>5919.7</v>
      </c>
      <c r="U209" s="71">
        <f t="shared" si="212"/>
        <v>5919.7</v>
      </c>
      <c r="V209" s="71">
        <f t="shared" si="212"/>
        <v>0</v>
      </c>
      <c r="W209" s="71">
        <f t="shared" si="212"/>
        <v>0</v>
      </c>
      <c r="X209" s="71">
        <f t="shared" si="212"/>
        <v>0</v>
      </c>
      <c r="Y209" s="71">
        <f t="shared" si="212"/>
        <v>0</v>
      </c>
      <c r="Z209" s="71">
        <f t="shared" si="212"/>
        <v>0</v>
      </c>
      <c r="AA209" s="71">
        <f t="shared" si="212"/>
        <v>0</v>
      </c>
      <c r="AB209" s="71">
        <f t="shared" si="212"/>
        <v>0</v>
      </c>
      <c r="AC209" s="71">
        <f t="shared" si="212"/>
        <v>0</v>
      </c>
      <c r="AD209" s="71">
        <f t="shared" si="212"/>
        <v>0</v>
      </c>
      <c r="AE209" s="71">
        <f t="shared" si="212"/>
        <v>0</v>
      </c>
      <c r="AF209" s="52"/>
      <c r="AG209" s="15"/>
      <c r="AH209" s="15"/>
      <c r="AI209" s="15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</row>
    <row r="210" spans="1:62" ht="18.75" x14ac:dyDescent="0.3">
      <c r="A210" s="22" t="s">
        <v>29</v>
      </c>
      <c r="B210" s="23">
        <f>B213</f>
        <v>5919.7</v>
      </c>
      <c r="C210" s="23">
        <f>C213</f>
        <v>5919.7</v>
      </c>
      <c r="D210" s="23">
        <f>D213</f>
        <v>5919.7</v>
      </c>
      <c r="E210" s="23">
        <f>E213</f>
        <v>5919.7</v>
      </c>
      <c r="F210" s="53">
        <f>E210/B210*100</f>
        <v>100</v>
      </c>
      <c r="G210" s="53">
        <f>E210/C210*100</f>
        <v>100</v>
      </c>
      <c r="H210" s="23">
        <f t="shared" ref="H210:AE210" si="213">H213</f>
        <v>0</v>
      </c>
      <c r="I210" s="23">
        <f t="shared" si="213"/>
        <v>0</v>
      </c>
      <c r="J210" s="23">
        <f t="shared" si="213"/>
        <v>0</v>
      </c>
      <c r="K210" s="23">
        <f t="shared" si="213"/>
        <v>0</v>
      </c>
      <c r="L210" s="23">
        <f t="shared" si="213"/>
        <v>0</v>
      </c>
      <c r="M210" s="23">
        <f t="shared" si="213"/>
        <v>0</v>
      </c>
      <c r="N210" s="23">
        <f t="shared" si="213"/>
        <v>0</v>
      </c>
      <c r="O210" s="23">
        <f t="shared" si="213"/>
        <v>0</v>
      </c>
      <c r="P210" s="23">
        <f t="shared" si="213"/>
        <v>0</v>
      </c>
      <c r="Q210" s="23">
        <f t="shared" si="213"/>
        <v>0</v>
      </c>
      <c r="R210" s="23">
        <f t="shared" si="213"/>
        <v>0</v>
      </c>
      <c r="S210" s="23">
        <f t="shared" si="213"/>
        <v>0</v>
      </c>
      <c r="T210" s="23">
        <f t="shared" si="213"/>
        <v>5919.7</v>
      </c>
      <c r="U210" s="23">
        <f t="shared" si="213"/>
        <v>5919.7</v>
      </c>
      <c r="V210" s="23">
        <f t="shared" si="213"/>
        <v>0</v>
      </c>
      <c r="W210" s="23">
        <f t="shared" si="213"/>
        <v>0</v>
      </c>
      <c r="X210" s="23">
        <f t="shared" si="213"/>
        <v>0</v>
      </c>
      <c r="Y210" s="23">
        <f t="shared" si="213"/>
        <v>0</v>
      </c>
      <c r="Z210" s="23">
        <f t="shared" si="213"/>
        <v>0</v>
      </c>
      <c r="AA210" s="23">
        <f t="shared" si="213"/>
        <v>0</v>
      </c>
      <c r="AB210" s="23">
        <f t="shared" si="213"/>
        <v>0</v>
      </c>
      <c r="AC210" s="23">
        <f t="shared" si="213"/>
        <v>0</v>
      </c>
      <c r="AD210" s="23">
        <f t="shared" si="213"/>
        <v>0</v>
      </c>
      <c r="AE210" s="23">
        <f t="shared" si="213"/>
        <v>0</v>
      </c>
      <c r="AF210" s="36"/>
      <c r="AG210" s="15"/>
      <c r="AH210" s="15"/>
      <c r="AI210" s="15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</row>
    <row r="211" spans="1:62" ht="75" x14ac:dyDescent="0.25">
      <c r="A211" s="97" t="s">
        <v>97</v>
      </c>
      <c r="B211" s="23"/>
      <c r="C211" s="23"/>
      <c r="D211" s="23"/>
      <c r="E211" s="23"/>
      <c r="F211" s="54"/>
      <c r="G211" s="54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36"/>
      <c r="AG211" s="15"/>
      <c r="AH211" s="15"/>
      <c r="AI211" s="15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</row>
    <row r="212" spans="1:62" ht="18.75" x14ac:dyDescent="0.3">
      <c r="A212" s="19" t="s">
        <v>27</v>
      </c>
      <c r="B212" s="49">
        <f>B213</f>
        <v>5919.7</v>
      </c>
      <c r="C212" s="49">
        <f>C213</f>
        <v>5919.7</v>
      </c>
      <c r="D212" s="49">
        <f>D213</f>
        <v>5919.7</v>
      </c>
      <c r="E212" s="49">
        <f>E213</f>
        <v>5919.7</v>
      </c>
      <c r="F212" s="49">
        <f>E212/B212*100</f>
        <v>100</v>
      </c>
      <c r="G212" s="49">
        <f>E212/C212*100</f>
        <v>100</v>
      </c>
      <c r="H212" s="71">
        <f t="shared" ref="H212:AE212" si="214">H213</f>
        <v>0</v>
      </c>
      <c r="I212" s="71">
        <f t="shared" si="214"/>
        <v>0</v>
      </c>
      <c r="J212" s="71">
        <f t="shared" si="214"/>
        <v>0</v>
      </c>
      <c r="K212" s="71">
        <f t="shared" si="214"/>
        <v>0</v>
      </c>
      <c r="L212" s="71">
        <f t="shared" si="214"/>
        <v>0</v>
      </c>
      <c r="M212" s="71">
        <f t="shared" si="214"/>
        <v>0</v>
      </c>
      <c r="N212" s="71">
        <f t="shared" si="214"/>
        <v>0</v>
      </c>
      <c r="O212" s="71">
        <f t="shared" si="214"/>
        <v>0</v>
      </c>
      <c r="P212" s="71">
        <f t="shared" si="214"/>
        <v>0</v>
      </c>
      <c r="Q212" s="71">
        <f t="shared" si="214"/>
        <v>0</v>
      </c>
      <c r="R212" s="71">
        <f t="shared" si="214"/>
        <v>0</v>
      </c>
      <c r="S212" s="71">
        <f t="shared" si="214"/>
        <v>0</v>
      </c>
      <c r="T212" s="71">
        <f t="shared" si="214"/>
        <v>5919.7</v>
      </c>
      <c r="U212" s="71">
        <f t="shared" si="214"/>
        <v>5919.7</v>
      </c>
      <c r="V212" s="71">
        <f t="shared" si="214"/>
        <v>0</v>
      </c>
      <c r="W212" s="71">
        <f t="shared" si="214"/>
        <v>0</v>
      </c>
      <c r="X212" s="71">
        <f t="shared" si="214"/>
        <v>0</v>
      </c>
      <c r="Y212" s="71">
        <f t="shared" si="214"/>
        <v>0</v>
      </c>
      <c r="Z212" s="71">
        <f t="shared" si="214"/>
        <v>0</v>
      </c>
      <c r="AA212" s="71">
        <f t="shared" si="214"/>
        <v>0</v>
      </c>
      <c r="AB212" s="71">
        <f t="shared" si="214"/>
        <v>0</v>
      </c>
      <c r="AC212" s="71">
        <f t="shared" si="214"/>
        <v>0</v>
      </c>
      <c r="AD212" s="71">
        <f t="shared" si="214"/>
        <v>0</v>
      </c>
      <c r="AE212" s="71">
        <f t="shared" si="214"/>
        <v>0</v>
      </c>
      <c r="AF212" s="52"/>
      <c r="AG212" s="15"/>
      <c r="AH212" s="15"/>
      <c r="AI212" s="15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</row>
    <row r="213" spans="1:62" ht="18.75" x14ac:dyDescent="0.3">
      <c r="A213" s="22" t="s">
        <v>29</v>
      </c>
      <c r="B213" s="23">
        <f>H213+J213+L213+N213+P213+R213+T213+V213+X213+Z213+AB213+AD213</f>
        <v>5919.7</v>
      </c>
      <c r="C213" s="23">
        <f>H213+J213+L213+T213</f>
        <v>5919.7</v>
      </c>
      <c r="D213" s="23">
        <f>E213</f>
        <v>5919.7</v>
      </c>
      <c r="E213" s="23">
        <f>I213+K213+M213+O213+Q213+S213+U213+W213+Y213+AA213+AC213+AE213</f>
        <v>5919.7</v>
      </c>
      <c r="F213" s="54">
        <f>E213/B213*100</f>
        <v>100</v>
      </c>
      <c r="G213" s="54">
        <f>E213/C213*100</f>
        <v>100</v>
      </c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>
        <v>5919.7</v>
      </c>
      <c r="U213" s="13">
        <v>5919.7</v>
      </c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36" t="s">
        <v>119</v>
      </c>
      <c r="AG213" s="15"/>
      <c r="AH213" s="15"/>
      <c r="AI213" s="15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</row>
    <row r="214" spans="1:62" ht="37.5" x14ac:dyDescent="0.3">
      <c r="A214" s="19" t="s">
        <v>74</v>
      </c>
      <c r="B214" s="55">
        <f>H214+J214+L214+N214+P214+R214+T214+V214+X214+Z214+AB214+AD214</f>
        <v>44768.439999999995</v>
      </c>
      <c r="C214" s="13">
        <f t="shared" ref="C214:E214" si="215">C215+C216+C217+C218</f>
        <v>33378.44</v>
      </c>
      <c r="D214" s="13">
        <f t="shared" si="215"/>
        <v>28370.039999999997</v>
      </c>
      <c r="E214" s="13">
        <f t="shared" si="215"/>
        <v>28370.039999999997</v>
      </c>
      <c r="F214" s="21">
        <f>E214/B214*100</f>
        <v>63.370624484569937</v>
      </c>
      <c r="G214" s="21">
        <f>E214/C214*100</f>
        <v>84.995104624422211</v>
      </c>
      <c r="H214" s="13">
        <f>H215+H216+H217+H218</f>
        <v>2947.3</v>
      </c>
      <c r="I214" s="13">
        <f t="shared" ref="I214:AE214" si="216">I215+I216+I217+I218</f>
        <v>1558.4</v>
      </c>
      <c r="J214" s="13">
        <f t="shared" si="216"/>
        <v>4048.6</v>
      </c>
      <c r="K214" s="13">
        <f t="shared" si="216"/>
        <v>4092.6</v>
      </c>
      <c r="L214" s="13">
        <f t="shared" si="216"/>
        <v>3683.7999999999997</v>
      </c>
      <c r="M214" s="13">
        <f t="shared" si="216"/>
        <v>2648.3999999999996</v>
      </c>
      <c r="N214" s="13">
        <f t="shared" si="216"/>
        <v>3319.7</v>
      </c>
      <c r="O214" s="13">
        <f t="shared" si="216"/>
        <v>3468.4</v>
      </c>
      <c r="P214" s="13">
        <f t="shared" si="216"/>
        <v>3185.04</v>
      </c>
      <c r="Q214" s="13">
        <f t="shared" si="216"/>
        <v>2196.6</v>
      </c>
      <c r="R214" s="13">
        <f t="shared" si="216"/>
        <v>3694.4</v>
      </c>
      <c r="S214" s="13">
        <f t="shared" si="216"/>
        <v>3238.7</v>
      </c>
      <c r="T214" s="13">
        <f t="shared" si="216"/>
        <v>9575.5999999999985</v>
      </c>
      <c r="U214" s="13">
        <f t="shared" si="216"/>
        <v>9347.9</v>
      </c>
      <c r="V214" s="13">
        <f t="shared" si="216"/>
        <v>2081.1999999999998</v>
      </c>
      <c r="W214" s="13">
        <f t="shared" si="216"/>
        <v>2167.2000000000003</v>
      </c>
      <c r="X214" s="13">
        <f t="shared" si="216"/>
        <v>2316.6000000000004</v>
      </c>
      <c r="Y214" s="13">
        <f t="shared" si="216"/>
        <v>1948.1000000000001</v>
      </c>
      <c r="Z214" s="13">
        <f t="shared" si="216"/>
        <v>4514.3999999999996</v>
      </c>
      <c r="AA214" s="13">
        <f t="shared" si="216"/>
        <v>3632.4399999999996</v>
      </c>
      <c r="AB214" s="13">
        <f t="shared" si="216"/>
        <v>2748.2000000000003</v>
      </c>
      <c r="AC214" s="13">
        <f t="shared" si="216"/>
        <v>0</v>
      </c>
      <c r="AD214" s="13">
        <f t="shared" si="216"/>
        <v>2653.6</v>
      </c>
      <c r="AE214" s="13">
        <f t="shared" si="216"/>
        <v>0</v>
      </c>
      <c r="AF214" s="45"/>
      <c r="AG214" s="15"/>
      <c r="AH214" s="15"/>
      <c r="AI214" s="15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</row>
    <row r="215" spans="1:62" ht="18.75" x14ac:dyDescent="0.3">
      <c r="A215" s="19" t="s">
        <v>28</v>
      </c>
      <c r="B215" s="55">
        <f t="shared" ref="B215" si="217">H215+J215+L215+N215+P215+R215+T215+V215+X215+Z215+AB215+AD215</f>
        <v>0</v>
      </c>
      <c r="C215" s="13">
        <f t="shared" ref="C215:E216" si="218">C192+C168+C150</f>
        <v>0</v>
      </c>
      <c r="D215" s="13">
        <f t="shared" si="218"/>
        <v>0</v>
      </c>
      <c r="E215" s="13">
        <f t="shared" si="218"/>
        <v>0</v>
      </c>
      <c r="F215" s="51"/>
      <c r="G215" s="51"/>
      <c r="H215" s="13">
        <f t="shared" ref="H215:AE215" si="219">H150+H168+H192</f>
        <v>0</v>
      </c>
      <c r="I215" s="13">
        <f t="shared" si="219"/>
        <v>0</v>
      </c>
      <c r="J215" s="13">
        <f t="shared" si="219"/>
        <v>0</v>
      </c>
      <c r="K215" s="13">
        <f t="shared" si="219"/>
        <v>0</v>
      </c>
      <c r="L215" s="13">
        <f t="shared" si="219"/>
        <v>0</v>
      </c>
      <c r="M215" s="13">
        <f t="shared" si="219"/>
        <v>0</v>
      </c>
      <c r="N215" s="13">
        <f t="shared" si="219"/>
        <v>0</v>
      </c>
      <c r="O215" s="13">
        <f t="shared" si="219"/>
        <v>0</v>
      </c>
      <c r="P215" s="13">
        <f t="shared" si="219"/>
        <v>0</v>
      </c>
      <c r="Q215" s="13">
        <f t="shared" si="219"/>
        <v>0</v>
      </c>
      <c r="R215" s="13">
        <f t="shared" si="219"/>
        <v>0</v>
      </c>
      <c r="S215" s="13">
        <f t="shared" si="219"/>
        <v>0</v>
      </c>
      <c r="T215" s="13">
        <f t="shared" si="219"/>
        <v>0</v>
      </c>
      <c r="U215" s="13">
        <f t="shared" si="219"/>
        <v>0</v>
      </c>
      <c r="V215" s="13">
        <f t="shared" si="219"/>
        <v>0</v>
      </c>
      <c r="W215" s="13">
        <f t="shared" si="219"/>
        <v>0</v>
      </c>
      <c r="X215" s="13">
        <f t="shared" si="219"/>
        <v>0</v>
      </c>
      <c r="Y215" s="13">
        <f t="shared" si="219"/>
        <v>0</v>
      </c>
      <c r="Z215" s="13">
        <f t="shared" si="219"/>
        <v>0</v>
      </c>
      <c r="AA215" s="13">
        <f t="shared" si="219"/>
        <v>0</v>
      </c>
      <c r="AB215" s="13">
        <f t="shared" si="219"/>
        <v>0</v>
      </c>
      <c r="AC215" s="13">
        <f t="shared" si="219"/>
        <v>0</v>
      </c>
      <c r="AD215" s="13">
        <f t="shared" si="219"/>
        <v>0</v>
      </c>
      <c r="AE215" s="13">
        <f t="shared" si="219"/>
        <v>0</v>
      </c>
      <c r="AF215" s="45"/>
      <c r="AG215" s="15"/>
      <c r="AH215" s="15"/>
      <c r="AI215" s="15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</row>
    <row r="216" spans="1:62" ht="18.75" x14ac:dyDescent="0.3">
      <c r="A216" s="19" t="s">
        <v>29</v>
      </c>
      <c r="B216" s="55">
        <f>H216+J216+L216+N216+P216+R216+T216+V216+X216+Z216+AB216+AD216</f>
        <v>44768.439999999995</v>
      </c>
      <c r="C216" s="13">
        <f t="shared" si="218"/>
        <v>33378.44</v>
      </c>
      <c r="D216" s="13">
        <f t="shared" si="218"/>
        <v>28370.039999999997</v>
      </c>
      <c r="E216" s="13">
        <f t="shared" si="218"/>
        <v>28370.039999999997</v>
      </c>
      <c r="F216" s="21">
        <f>E216/B216*100</f>
        <v>63.370624484569937</v>
      </c>
      <c r="G216" s="21">
        <f>E216/C216*100</f>
        <v>84.995104624422211</v>
      </c>
      <c r="H216" s="13">
        <f t="shared" ref="H216:AE216" si="220">H151+H169+H193+H204+H210</f>
        <v>2947.3</v>
      </c>
      <c r="I216" s="13">
        <f t="shared" si="220"/>
        <v>1558.4</v>
      </c>
      <c r="J216" s="13">
        <f t="shared" si="220"/>
        <v>4048.6</v>
      </c>
      <c r="K216" s="13">
        <f t="shared" si="220"/>
        <v>4092.6</v>
      </c>
      <c r="L216" s="13">
        <f t="shared" si="220"/>
        <v>3683.7999999999997</v>
      </c>
      <c r="M216" s="13">
        <f t="shared" si="220"/>
        <v>2648.3999999999996</v>
      </c>
      <c r="N216" s="13">
        <f t="shared" si="220"/>
        <v>3319.7</v>
      </c>
      <c r="O216" s="13">
        <f t="shared" si="220"/>
        <v>3468.4</v>
      </c>
      <c r="P216" s="13">
        <f t="shared" si="220"/>
        <v>3185.04</v>
      </c>
      <c r="Q216" s="13">
        <f t="shared" si="220"/>
        <v>2196.6</v>
      </c>
      <c r="R216" s="13">
        <f t="shared" si="220"/>
        <v>3694.4</v>
      </c>
      <c r="S216" s="13">
        <f t="shared" si="220"/>
        <v>3238.7</v>
      </c>
      <c r="T216" s="13">
        <f t="shared" si="220"/>
        <v>9575.5999999999985</v>
      </c>
      <c r="U216" s="13">
        <f t="shared" si="220"/>
        <v>9347.9</v>
      </c>
      <c r="V216" s="13">
        <f t="shared" si="220"/>
        <v>2081.1999999999998</v>
      </c>
      <c r="W216" s="13">
        <f t="shared" si="220"/>
        <v>2167.2000000000003</v>
      </c>
      <c r="X216" s="13">
        <f t="shared" si="220"/>
        <v>2316.6000000000004</v>
      </c>
      <c r="Y216" s="13">
        <f t="shared" si="220"/>
        <v>1948.1000000000001</v>
      </c>
      <c r="Z216" s="13">
        <f t="shared" si="220"/>
        <v>4514.3999999999996</v>
      </c>
      <c r="AA216" s="13">
        <f t="shared" si="220"/>
        <v>3632.4399999999996</v>
      </c>
      <c r="AB216" s="13">
        <f t="shared" si="220"/>
        <v>2748.2000000000003</v>
      </c>
      <c r="AC216" s="13">
        <f t="shared" si="220"/>
        <v>0</v>
      </c>
      <c r="AD216" s="13">
        <f t="shared" si="220"/>
        <v>2653.6</v>
      </c>
      <c r="AE216" s="13">
        <f t="shared" si="220"/>
        <v>0</v>
      </c>
      <c r="AF216" s="45"/>
      <c r="AG216" s="15"/>
      <c r="AH216" s="15"/>
      <c r="AI216" s="15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</row>
    <row r="217" spans="1:62" ht="18.75" x14ac:dyDescent="0.3">
      <c r="A217" s="19" t="s">
        <v>30</v>
      </c>
      <c r="B217" s="55">
        <f t="shared" ref="B217" si="221">H217+J217+L217+N217+P217+R217+T217+V217+X217+Z217+AB217+AD217</f>
        <v>0</v>
      </c>
      <c r="C217" s="13"/>
      <c r="D217" s="13"/>
      <c r="E217" s="13"/>
      <c r="F217" s="51"/>
      <c r="G217" s="51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45"/>
      <c r="AG217" s="15"/>
      <c r="AH217" s="15"/>
      <c r="AI217" s="15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</row>
    <row r="218" spans="1:62" ht="18.75" x14ac:dyDescent="0.3">
      <c r="A218" s="19" t="s">
        <v>31</v>
      </c>
      <c r="B218" s="55">
        <f>H218+J218+L218+N218+P218+R218+T218+V218+X218+Z218+AB218+AD218</f>
        <v>0</v>
      </c>
      <c r="C218" s="13">
        <f>C153+C171+C195</f>
        <v>0</v>
      </c>
      <c r="D218" s="13">
        <f>D153+D171+D195</f>
        <v>0</v>
      </c>
      <c r="E218" s="13">
        <f>E153+E171+E195</f>
        <v>0</v>
      </c>
      <c r="F218" s="21"/>
      <c r="G218" s="21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45"/>
      <c r="AG218" s="15"/>
      <c r="AH218" s="15"/>
      <c r="AI218" s="15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</row>
    <row r="219" spans="1:62" ht="20.25" x14ac:dyDescent="0.25">
      <c r="A219" s="108" t="s">
        <v>75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10"/>
      <c r="AE219" s="13"/>
      <c r="AF219" s="36"/>
      <c r="AG219" s="15"/>
      <c r="AH219" s="15"/>
      <c r="AI219" s="15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</row>
    <row r="220" spans="1:62" ht="20.25" x14ac:dyDescent="0.25">
      <c r="A220" s="108" t="s">
        <v>76</v>
      </c>
      <c r="B220" s="109" t="s">
        <v>77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3"/>
      <c r="AF220" s="36"/>
      <c r="AG220" s="15"/>
      <c r="AH220" s="15"/>
      <c r="AI220" s="15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</row>
    <row r="221" spans="1:62" ht="18.75" x14ac:dyDescent="0.3">
      <c r="A221" s="19" t="s">
        <v>27</v>
      </c>
      <c r="B221" s="13">
        <f>H221+J221+L221+N221+P221+R221+T221+V221+X221+Z221+AB221+AD221</f>
        <v>55299.200000000004</v>
      </c>
      <c r="C221" s="13">
        <f>C222+C223+C224+C225</f>
        <v>48637</v>
      </c>
      <c r="D221" s="13">
        <f>D222+D223+D224+D225</f>
        <v>44897.2</v>
      </c>
      <c r="E221" s="13">
        <f>E222+E223+E224+E225</f>
        <v>44897.2</v>
      </c>
      <c r="F221" s="21">
        <f>E221/B221*100</f>
        <v>81.189601296221269</v>
      </c>
      <c r="G221" s="21">
        <f>E221/C221*100</f>
        <v>92.3107921952423</v>
      </c>
      <c r="H221" s="13">
        <f t="shared" ref="H221:AD221" si="222">H222+H223+H224+H225</f>
        <v>4713.8999999999996</v>
      </c>
      <c r="I221" s="13">
        <f>I222+I223+I224+I225</f>
        <v>4702.2</v>
      </c>
      <c r="J221" s="13">
        <f t="shared" si="222"/>
        <v>4187.3</v>
      </c>
      <c r="K221" s="13">
        <f>K222+K223+K224+K225</f>
        <v>3634.2</v>
      </c>
      <c r="L221" s="13">
        <f t="shared" si="222"/>
        <v>4083</v>
      </c>
      <c r="M221" s="13">
        <f>M222+M223+M224+M225</f>
        <v>3426.3</v>
      </c>
      <c r="N221" s="13">
        <f t="shared" si="222"/>
        <v>5647.6</v>
      </c>
      <c r="O221" s="13">
        <f>O222+O223+O224+O225</f>
        <v>5447.7999999999993</v>
      </c>
      <c r="P221" s="13">
        <f t="shared" si="222"/>
        <v>8479.9</v>
      </c>
      <c r="Q221" s="13">
        <f>Q222+Q223+Q224+Q225</f>
        <v>5159.8999999999996</v>
      </c>
      <c r="R221" s="13">
        <f t="shared" si="222"/>
        <v>7669.9</v>
      </c>
      <c r="S221" s="13">
        <f>S222+S223+S224+S225</f>
        <v>5413.4</v>
      </c>
      <c r="T221" s="13">
        <f t="shared" si="222"/>
        <v>4649.8</v>
      </c>
      <c r="U221" s="13">
        <f>U222+U223+U224+U225</f>
        <v>6619.2</v>
      </c>
      <c r="V221" s="13">
        <f t="shared" si="222"/>
        <v>1686.5</v>
      </c>
      <c r="W221" s="13">
        <f>W222+W223+W224+W225</f>
        <v>4017.6</v>
      </c>
      <c r="X221" s="13">
        <f t="shared" si="222"/>
        <v>2722.6</v>
      </c>
      <c r="Y221" s="13">
        <f>Y222+Y223+Y224+Y225</f>
        <v>2841.3999999999996</v>
      </c>
      <c r="Z221" s="13">
        <f>Z222+Z223+Z224+Z225</f>
        <v>4796.5</v>
      </c>
      <c r="AA221" s="13">
        <f>AA222+AA223+AA224+AA225</f>
        <v>3635.2</v>
      </c>
      <c r="AB221" s="13">
        <f t="shared" si="222"/>
        <v>3610.5</v>
      </c>
      <c r="AC221" s="13">
        <f>AC222+AC223+AC224+AC225</f>
        <v>0</v>
      </c>
      <c r="AD221" s="13">
        <f t="shared" si="222"/>
        <v>3051.7</v>
      </c>
      <c r="AE221" s="13">
        <f>AE222+AE223+AE224+AE225</f>
        <v>0</v>
      </c>
      <c r="AF221" s="36"/>
      <c r="AG221" s="15"/>
      <c r="AH221" s="15"/>
      <c r="AI221" s="15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</row>
    <row r="222" spans="1:62" ht="18.75" x14ac:dyDescent="0.3">
      <c r="A222" s="22" t="s">
        <v>28</v>
      </c>
      <c r="B222" s="46"/>
      <c r="C222" s="13"/>
      <c r="D222" s="13"/>
      <c r="E222" s="13"/>
      <c r="F222" s="46"/>
      <c r="G222" s="4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6"/>
      <c r="AG222" s="15"/>
      <c r="AH222" s="15"/>
      <c r="AI222" s="15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</row>
    <row r="223" spans="1:62" ht="18.75" x14ac:dyDescent="0.3">
      <c r="A223" s="22" t="s">
        <v>29</v>
      </c>
      <c r="B223" s="23">
        <f>B229+B235+B241</f>
        <v>55299.199999999997</v>
      </c>
      <c r="C223" s="23">
        <f>C229+C235+C241</f>
        <v>48637</v>
      </c>
      <c r="D223" s="23">
        <f t="shared" ref="D223:E223" si="223">D229+D235+D241</f>
        <v>44897.2</v>
      </c>
      <c r="E223" s="23">
        <f t="shared" si="223"/>
        <v>44897.2</v>
      </c>
      <c r="F223" s="24">
        <f>E223/B223*100</f>
        <v>81.189601296221284</v>
      </c>
      <c r="G223" s="24">
        <f>E223/C223*100</f>
        <v>92.3107921952423</v>
      </c>
      <c r="H223" s="23">
        <f>H229+H235+H241</f>
        <v>4713.8999999999996</v>
      </c>
      <c r="I223" s="23">
        <f t="shared" ref="I223:AE223" si="224">I229+I235+I241</f>
        <v>4702.2</v>
      </c>
      <c r="J223" s="23">
        <f t="shared" si="224"/>
        <v>4187.3</v>
      </c>
      <c r="K223" s="23">
        <f t="shared" si="224"/>
        <v>3634.2</v>
      </c>
      <c r="L223" s="23">
        <f t="shared" si="224"/>
        <v>4083</v>
      </c>
      <c r="M223" s="23">
        <f t="shared" si="224"/>
        <v>3426.3</v>
      </c>
      <c r="N223" s="23">
        <f t="shared" si="224"/>
        <v>5647.6</v>
      </c>
      <c r="O223" s="23">
        <f t="shared" si="224"/>
        <v>5447.7999999999993</v>
      </c>
      <c r="P223" s="23">
        <f t="shared" si="224"/>
        <v>8479.9</v>
      </c>
      <c r="Q223" s="23">
        <f t="shared" si="224"/>
        <v>5159.8999999999996</v>
      </c>
      <c r="R223" s="23">
        <f t="shared" si="224"/>
        <v>7669.9</v>
      </c>
      <c r="S223" s="23">
        <f t="shared" si="224"/>
        <v>5413.4</v>
      </c>
      <c r="T223" s="23">
        <f t="shared" si="224"/>
        <v>4649.8</v>
      </c>
      <c r="U223" s="23">
        <f t="shared" si="224"/>
        <v>6619.2</v>
      </c>
      <c r="V223" s="23">
        <f t="shared" si="224"/>
        <v>1686.5</v>
      </c>
      <c r="W223" s="23">
        <f t="shared" si="224"/>
        <v>4017.6</v>
      </c>
      <c r="X223" s="23">
        <f t="shared" si="224"/>
        <v>2722.6</v>
      </c>
      <c r="Y223" s="23">
        <f t="shared" si="224"/>
        <v>2841.3999999999996</v>
      </c>
      <c r="Z223" s="23">
        <f t="shared" si="224"/>
        <v>4796.5</v>
      </c>
      <c r="AA223" s="23">
        <f t="shared" si="224"/>
        <v>3635.2</v>
      </c>
      <c r="AB223" s="23">
        <f t="shared" si="224"/>
        <v>3610.5</v>
      </c>
      <c r="AC223" s="23">
        <f t="shared" si="224"/>
        <v>0</v>
      </c>
      <c r="AD223" s="23">
        <f t="shared" si="224"/>
        <v>3051.7</v>
      </c>
      <c r="AE223" s="23">
        <f t="shared" si="224"/>
        <v>0</v>
      </c>
      <c r="AF223" s="23"/>
      <c r="AG223" s="15"/>
      <c r="AH223" s="15"/>
      <c r="AI223" s="15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</row>
    <row r="224" spans="1:62" ht="18.75" x14ac:dyDescent="0.3">
      <c r="A224" s="22" t="s">
        <v>30</v>
      </c>
      <c r="B224" s="46"/>
      <c r="C224" s="46"/>
      <c r="D224" s="46"/>
      <c r="E224" s="46"/>
      <c r="F224" s="46"/>
      <c r="G224" s="46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36"/>
      <c r="AG224" s="15"/>
      <c r="AH224" s="15"/>
      <c r="AI224" s="15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</row>
    <row r="225" spans="1:62" ht="18.75" x14ac:dyDescent="0.3">
      <c r="A225" s="22" t="s">
        <v>31</v>
      </c>
      <c r="B225" s="23">
        <f>B237</f>
        <v>0</v>
      </c>
      <c r="C225" s="23">
        <f>C237</f>
        <v>0</v>
      </c>
      <c r="D225" s="23">
        <f>D237</f>
        <v>0</v>
      </c>
      <c r="E225" s="23">
        <f>E237</f>
        <v>0</v>
      </c>
      <c r="F225" s="56" t="e">
        <f>E225/B225*100</f>
        <v>#DIV/0!</v>
      </c>
      <c r="G225" s="56" t="e">
        <f>E225/C225*100</f>
        <v>#DIV/0!</v>
      </c>
      <c r="H225" s="23">
        <f t="shared" ref="H225:AE225" si="225">H237</f>
        <v>0</v>
      </c>
      <c r="I225" s="23">
        <f t="shared" si="225"/>
        <v>0</v>
      </c>
      <c r="J225" s="23">
        <f t="shared" si="225"/>
        <v>0</v>
      </c>
      <c r="K225" s="23">
        <f t="shared" si="225"/>
        <v>0</v>
      </c>
      <c r="L225" s="23">
        <f t="shared" si="225"/>
        <v>0</v>
      </c>
      <c r="M225" s="23">
        <f t="shared" si="225"/>
        <v>0</v>
      </c>
      <c r="N225" s="23">
        <f t="shared" si="225"/>
        <v>0</v>
      </c>
      <c r="O225" s="23">
        <f t="shared" si="225"/>
        <v>0</v>
      </c>
      <c r="P225" s="23">
        <f t="shared" si="225"/>
        <v>0</v>
      </c>
      <c r="Q225" s="23">
        <f t="shared" si="225"/>
        <v>0</v>
      </c>
      <c r="R225" s="23">
        <f t="shared" si="225"/>
        <v>0</v>
      </c>
      <c r="S225" s="23">
        <f t="shared" si="225"/>
        <v>0</v>
      </c>
      <c r="T225" s="23">
        <f t="shared" si="225"/>
        <v>0</v>
      </c>
      <c r="U225" s="23">
        <f t="shared" si="225"/>
        <v>0</v>
      </c>
      <c r="V225" s="23">
        <f t="shared" si="225"/>
        <v>0</v>
      </c>
      <c r="W225" s="23">
        <f t="shared" si="225"/>
        <v>0</v>
      </c>
      <c r="X225" s="23">
        <f t="shared" si="225"/>
        <v>0</v>
      </c>
      <c r="Y225" s="23">
        <f t="shared" si="225"/>
        <v>0</v>
      </c>
      <c r="Z225" s="23">
        <f t="shared" si="225"/>
        <v>0</v>
      </c>
      <c r="AA225" s="23">
        <f t="shared" si="225"/>
        <v>0</v>
      </c>
      <c r="AB225" s="23">
        <f t="shared" si="225"/>
        <v>0</v>
      </c>
      <c r="AC225" s="23">
        <f t="shared" si="225"/>
        <v>0</v>
      </c>
      <c r="AD225" s="23">
        <f t="shared" si="225"/>
        <v>0</v>
      </c>
      <c r="AE225" s="23">
        <f t="shared" si="225"/>
        <v>0</v>
      </c>
      <c r="AF225" s="36"/>
      <c r="AG225" s="15"/>
      <c r="AH225" s="15"/>
      <c r="AI225" s="15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</row>
    <row r="226" spans="1:62" ht="18.75" x14ac:dyDescent="0.25">
      <c r="A226" s="105" t="s">
        <v>78</v>
      </c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7"/>
      <c r="AF226" s="36"/>
      <c r="AG226" s="15"/>
      <c r="AH226" s="15"/>
      <c r="AI226" s="15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</row>
    <row r="227" spans="1:62" ht="18.75" x14ac:dyDescent="0.3">
      <c r="A227" s="19" t="s">
        <v>27</v>
      </c>
      <c r="B227" s="13">
        <f>B228+B229+B230+B231</f>
        <v>39735.4</v>
      </c>
      <c r="C227" s="13">
        <f>C228+C229+C230+C231</f>
        <v>35859.5</v>
      </c>
      <c r="D227" s="13">
        <f>D228+D229+D230+D231</f>
        <v>32159.7</v>
      </c>
      <c r="E227" s="13">
        <f>E228+E229+E230+E231</f>
        <v>32159.7</v>
      </c>
      <c r="F227" s="21">
        <f>E227/B227*100</f>
        <v>80.934632594613362</v>
      </c>
      <c r="G227" s="21">
        <f>E227/C227*100</f>
        <v>89.682510910637347</v>
      </c>
      <c r="H227" s="13">
        <f t="shared" ref="H227:AE227" si="226">H228+H229+H230+H231</f>
        <v>3932.1</v>
      </c>
      <c r="I227" s="13">
        <f t="shared" si="226"/>
        <v>3920.4</v>
      </c>
      <c r="J227" s="13">
        <f t="shared" si="226"/>
        <v>2805</v>
      </c>
      <c r="K227" s="13">
        <f t="shared" si="226"/>
        <v>2251.9</v>
      </c>
      <c r="L227" s="13">
        <f t="shared" si="226"/>
        <v>2815.7</v>
      </c>
      <c r="M227" s="13">
        <f t="shared" si="226"/>
        <v>2159</v>
      </c>
      <c r="N227" s="13">
        <f t="shared" si="226"/>
        <v>4418.7</v>
      </c>
      <c r="O227" s="13">
        <f t="shared" si="226"/>
        <v>4218.8999999999996</v>
      </c>
      <c r="P227" s="13">
        <f t="shared" si="226"/>
        <v>6416</v>
      </c>
      <c r="Q227" s="13">
        <f t="shared" si="226"/>
        <v>3096</v>
      </c>
      <c r="R227" s="13">
        <f t="shared" si="226"/>
        <v>5944.9</v>
      </c>
      <c r="S227" s="13">
        <f t="shared" si="226"/>
        <v>3688.4</v>
      </c>
      <c r="T227" s="13">
        <f t="shared" si="226"/>
        <v>3729</v>
      </c>
      <c r="U227" s="13">
        <f t="shared" si="226"/>
        <v>5698.4</v>
      </c>
      <c r="V227" s="13">
        <f t="shared" si="226"/>
        <v>693.4</v>
      </c>
      <c r="W227" s="13">
        <f t="shared" si="226"/>
        <v>3064.5</v>
      </c>
      <c r="X227" s="13">
        <f t="shared" si="226"/>
        <v>1628</v>
      </c>
      <c r="Y227" s="13">
        <f t="shared" si="226"/>
        <v>1746.8</v>
      </c>
      <c r="Z227" s="13">
        <f t="shared" si="226"/>
        <v>3476.7</v>
      </c>
      <c r="AA227" s="13">
        <f t="shared" si="226"/>
        <v>2315.4</v>
      </c>
      <c r="AB227" s="13">
        <f t="shared" si="226"/>
        <v>2133.9</v>
      </c>
      <c r="AC227" s="13">
        <f t="shared" si="226"/>
        <v>0</v>
      </c>
      <c r="AD227" s="13">
        <f t="shared" si="226"/>
        <v>1742</v>
      </c>
      <c r="AE227" s="13">
        <f t="shared" si="226"/>
        <v>0</v>
      </c>
      <c r="AF227" s="36"/>
      <c r="AG227" s="15"/>
      <c r="AH227" s="15"/>
      <c r="AI227" s="15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</row>
    <row r="228" spans="1:62" ht="18.75" x14ac:dyDescent="0.3">
      <c r="A228" s="22" t="s">
        <v>28</v>
      </c>
      <c r="B228" s="46"/>
      <c r="C228" s="46"/>
      <c r="D228" s="46"/>
      <c r="E228" s="46"/>
      <c r="F228" s="46"/>
      <c r="G228" s="4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36"/>
      <c r="AG228" s="15"/>
      <c r="AH228" s="15"/>
      <c r="AI228" s="15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</row>
    <row r="229" spans="1:62" ht="37.5" x14ac:dyDescent="0.3">
      <c r="A229" s="22" t="s">
        <v>29</v>
      </c>
      <c r="B229" s="23">
        <f>H229+J229+L229+N229+P229+R229+T229+V229+X229+Z229+AB229+AD229</f>
        <v>39735.4</v>
      </c>
      <c r="C229" s="30">
        <f>H229+J229+L229+N229+P229+R229+T229+V229+X229+Z229</f>
        <v>35859.5</v>
      </c>
      <c r="D229" s="23">
        <f>E229</f>
        <v>32159.7</v>
      </c>
      <c r="E229" s="30">
        <f>I229+K229+M229+O229+Q229+S229+U229+W229+Y229+AA229+AC229+AE229</f>
        <v>32159.7</v>
      </c>
      <c r="F229" s="24">
        <f>E229/B229*100</f>
        <v>80.934632594613362</v>
      </c>
      <c r="G229" s="24">
        <f>E229/C229*100</f>
        <v>89.682510910637347</v>
      </c>
      <c r="H229" s="23">
        <v>3932.1</v>
      </c>
      <c r="I229" s="23">
        <v>3920.4</v>
      </c>
      <c r="J229" s="23">
        <v>2805</v>
      </c>
      <c r="K229" s="23">
        <v>2251.9</v>
      </c>
      <c r="L229" s="23">
        <v>2815.7</v>
      </c>
      <c r="M229" s="23">
        <v>2159</v>
      </c>
      <c r="N229" s="23">
        <f>3671+747.7</f>
        <v>4418.7</v>
      </c>
      <c r="O229" s="23">
        <v>4218.8999999999996</v>
      </c>
      <c r="P229" s="23">
        <f>6316+100</f>
        <v>6416</v>
      </c>
      <c r="Q229" s="23">
        <v>3096</v>
      </c>
      <c r="R229" s="23">
        <f>5772+172.9</f>
        <v>5944.9</v>
      </c>
      <c r="S229" s="23">
        <v>3688.4</v>
      </c>
      <c r="T229" s="23">
        <f>3417+312</f>
        <v>3729</v>
      </c>
      <c r="U229" s="23">
        <v>5698.4</v>
      </c>
      <c r="V229" s="23">
        <f>756.6-63.2</f>
        <v>693.4</v>
      </c>
      <c r="W229" s="23">
        <v>3064.5</v>
      </c>
      <c r="X229" s="23">
        <v>1628</v>
      </c>
      <c r="Y229" s="23">
        <v>1746.8</v>
      </c>
      <c r="Z229" s="23">
        <f>3451.6+25.1</f>
        <v>3476.7</v>
      </c>
      <c r="AA229" s="23">
        <v>2315.4</v>
      </c>
      <c r="AB229" s="23">
        <f>2159-25.1</f>
        <v>2133.9</v>
      </c>
      <c r="AC229" s="23"/>
      <c r="AD229" s="23">
        <f>2699.4-747.7-100-172.9+63.2</f>
        <v>1742</v>
      </c>
      <c r="AE229" s="23"/>
      <c r="AF229" s="36" t="s">
        <v>79</v>
      </c>
      <c r="AG229" s="15"/>
      <c r="AH229" s="15"/>
      <c r="AI229" s="15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</row>
    <row r="230" spans="1:62" ht="18.75" x14ac:dyDescent="0.3">
      <c r="A230" s="22" t="s">
        <v>30</v>
      </c>
      <c r="B230" s="46"/>
      <c r="C230" s="46"/>
      <c r="D230" s="46"/>
      <c r="E230" s="46"/>
      <c r="F230" s="46"/>
      <c r="G230" s="4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36"/>
      <c r="AG230" s="15"/>
      <c r="AH230" s="15"/>
      <c r="AI230" s="15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</row>
    <row r="231" spans="1:62" ht="18.75" x14ac:dyDescent="0.3">
      <c r="A231" s="22" t="s">
        <v>31</v>
      </c>
      <c r="B231" s="46"/>
      <c r="C231" s="46"/>
      <c r="D231" s="46"/>
      <c r="E231" s="46"/>
      <c r="F231" s="46"/>
      <c r="G231" s="4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36"/>
      <c r="AG231" s="15"/>
      <c r="AH231" s="15"/>
      <c r="AI231" s="15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</row>
    <row r="232" spans="1:62" ht="18.75" x14ac:dyDescent="0.25">
      <c r="A232" s="105" t="s">
        <v>80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7"/>
      <c r="AF232" s="36"/>
      <c r="AG232" s="15"/>
      <c r="AH232" s="15"/>
      <c r="AI232" s="15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</row>
    <row r="233" spans="1:62" ht="18.75" x14ac:dyDescent="0.3">
      <c r="A233" s="19" t="s">
        <v>27</v>
      </c>
      <c r="B233" s="13">
        <f>B234+B235+B236+B237</f>
        <v>100</v>
      </c>
      <c r="C233" s="13">
        <f>C234+C235+C236+C237</f>
        <v>82.5</v>
      </c>
      <c r="D233" s="13">
        <f>D234+D235+D236+D237</f>
        <v>42.5</v>
      </c>
      <c r="E233" s="13">
        <f>E234+E235+E236+E237</f>
        <v>42.5</v>
      </c>
      <c r="F233" s="21">
        <f>E233/B233*100</f>
        <v>42.5</v>
      </c>
      <c r="G233" s="21">
        <f>E233/C233*100</f>
        <v>51.515151515151516</v>
      </c>
      <c r="H233" s="13">
        <f>H234+H235+H236+H237</f>
        <v>0</v>
      </c>
      <c r="I233" s="13">
        <f t="shared" ref="I233:AE233" si="227">I234+I235+I236+I237</f>
        <v>0</v>
      </c>
      <c r="J233" s="13">
        <f t="shared" si="227"/>
        <v>42.5</v>
      </c>
      <c r="K233" s="13">
        <f t="shared" si="227"/>
        <v>42.5</v>
      </c>
      <c r="L233" s="13">
        <f t="shared" si="227"/>
        <v>0</v>
      </c>
      <c r="M233" s="13">
        <f t="shared" si="227"/>
        <v>0</v>
      </c>
      <c r="N233" s="13">
        <f t="shared" si="227"/>
        <v>0</v>
      </c>
      <c r="O233" s="13">
        <f t="shared" si="227"/>
        <v>0</v>
      </c>
      <c r="P233" s="13">
        <f t="shared" si="227"/>
        <v>0</v>
      </c>
      <c r="Q233" s="13">
        <f t="shared" si="227"/>
        <v>0</v>
      </c>
      <c r="R233" s="13">
        <f t="shared" si="227"/>
        <v>0</v>
      </c>
      <c r="S233" s="13">
        <f t="shared" si="227"/>
        <v>0</v>
      </c>
      <c r="T233" s="13">
        <f t="shared" si="227"/>
        <v>0</v>
      </c>
      <c r="U233" s="13">
        <f t="shared" si="227"/>
        <v>0</v>
      </c>
      <c r="V233" s="13">
        <f t="shared" si="227"/>
        <v>40</v>
      </c>
      <c r="W233" s="13">
        <f t="shared" si="227"/>
        <v>0</v>
      </c>
      <c r="X233" s="13">
        <f t="shared" si="227"/>
        <v>0</v>
      </c>
      <c r="Y233" s="13">
        <f t="shared" si="227"/>
        <v>0</v>
      </c>
      <c r="Z233" s="13">
        <f t="shared" si="227"/>
        <v>0</v>
      </c>
      <c r="AA233" s="13">
        <f t="shared" si="227"/>
        <v>0</v>
      </c>
      <c r="AB233" s="13">
        <f t="shared" si="227"/>
        <v>17.5</v>
      </c>
      <c r="AC233" s="13">
        <f t="shared" si="227"/>
        <v>0</v>
      </c>
      <c r="AD233" s="13">
        <f t="shared" si="227"/>
        <v>0</v>
      </c>
      <c r="AE233" s="13">
        <f t="shared" si="227"/>
        <v>0</v>
      </c>
      <c r="AF233" s="111"/>
      <c r="AG233" s="15"/>
      <c r="AH233" s="15"/>
      <c r="AI233" s="15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</row>
    <row r="234" spans="1:62" ht="18.75" x14ac:dyDescent="0.3">
      <c r="A234" s="22" t="s">
        <v>28</v>
      </c>
      <c r="B234" s="46"/>
      <c r="C234" s="46"/>
      <c r="D234" s="46"/>
      <c r="E234" s="46"/>
      <c r="F234" s="46"/>
      <c r="G234" s="4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12"/>
      <c r="AG234" s="15"/>
      <c r="AH234" s="15"/>
      <c r="AI234" s="15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</row>
    <row r="235" spans="1:62" ht="18.75" x14ac:dyDescent="0.3">
      <c r="A235" s="22" t="s">
        <v>29</v>
      </c>
      <c r="B235" s="23">
        <f>H235+J235+L235+N235+P235+R235+T235+V235+X235+Z235+AB235+AD235</f>
        <v>100</v>
      </c>
      <c r="C235" s="30">
        <f>H235+J235+V235</f>
        <v>82.5</v>
      </c>
      <c r="D235" s="23">
        <f>E235</f>
        <v>42.5</v>
      </c>
      <c r="E235" s="30">
        <f>I235+K235+M235+O235+Q235+S235+U235+W235+Y235+AA235+AC235+AE235</f>
        <v>42.5</v>
      </c>
      <c r="F235" s="24">
        <f>E235/B235*100</f>
        <v>42.5</v>
      </c>
      <c r="G235" s="24">
        <f>E235/C235*100</f>
        <v>51.515151515151516</v>
      </c>
      <c r="H235" s="23"/>
      <c r="I235" s="23"/>
      <c r="J235" s="23">
        <v>42.5</v>
      </c>
      <c r="K235" s="23">
        <v>42.5</v>
      </c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>
        <v>40</v>
      </c>
      <c r="W235" s="23"/>
      <c r="X235" s="23"/>
      <c r="Y235" s="23"/>
      <c r="Z235" s="23"/>
      <c r="AA235" s="23"/>
      <c r="AB235" s="23">
        <v>17.5</v>
      </c>
      <c r="AC235" s="23"/>
      <c r="AD235" s="23"/>
      <c r="AE235" s="23"/>
      <c r="AF235" s="112"/>
      <c r="AG235" s="15"/>
      <c r="AH235" s="15"/>
      <c r="AI235" s="15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</row>
    <row r="236" spans="1:62" ht="18.75" x14ac:dyDescent="0.3">
      <c r="A236" s="22" t="s">
        <v>30</v>
      </c>
      <c r="B236" s="46"/>
      <c r="C236" s="46"/>
      <c r="D236" s="46"/>
      <c r="E236" s="46"/>
      <c r="F236" s="46"/>
      <c r="G236" s="4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12"/>
      <c r="AG236" s="15"/>
      <c r="AH236" s="15"/>
      <c r="AI236" s="15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</row>
    <row r="237" spans="1:62" ht="18.75" x14ac:dyDescent="0.3">
      <c r="A237" s="22" t="s">
        <v>31</v>
      </c>
      <c r="B237" s="23">
        <f>H237+J237+L237+N237+P237+R237+T237+V237+X237+Z237+AB237+AD237</f>
        <v>0</v>
      </c>
      <c r="C237" s="57">
        <f>H237+J237+L237+V237+X237</f>
        <v>0</v>
      </c>
      <c r="D237" s="23">
        <f>E237</f>
        <v>0</v>
      </c>
      <c r="E237" s="57">
        <f>I237+K237+M237+O237+Q237+S237+U237+W237+Y237+AA237+AC237+AE237</f>
        <v>0</v>
      </c>
      <c r="F237" s="56" t="e">
        <f>E237/B237*100</f>
        <v>#DIV/0!</v>
      </c>
      <c r="G237" s="56" t="e">
        <f>E237/C237*100</f>
        <v>#DIV/0!</v>
      </c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13"/>
      <c r="AG237" s="15"/>
      <c r="AH237" s="15"/>
      <c r="AI237" s="15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</row>
    <row r="238" spans="1:62" ht="18.75" x14ac:dyDescent="0.25">
      <c r="A238" s="105" t="s">
        <v>81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7"/>
      <c r="AF238" s="36"/>
      <c r="AG238" s="15"/>
      <c r="AH238" s="15"/>
      <c r="AI238" s="15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</row>
    <row r="239" spans="1:62" ht="18.75" x14ac:dyDescent="0.3">
      <c r="A239" s="19" t="s">
        <v>27</v>
      </c>
      <c r="B239" s="13">
        <f>B240+B241+B242+B243</f>
        <v>15463.8</v>
      </c>
      <c r="C239" s="13">
        <f>C240+C241+C242+C243</f>
        <v>12694.999999999998</v>
      </c>
      <c r="D239" s="13">
        <f>D240+D241+D242+D243</f>
        <v>12694.999999999998</v>
      </c>
      <c r="E239" s="13">
        <f>E240+E241+E242+E243</f>
        <v>12694.999999999998</v>
      </c>
      <c r="F239" s="21">
        <f>E239/B239*100</f>
        <v>82.094957255008467</v>
      </c>
      <c r="G239" s="21">
        <f>E239/C239*100</f>
        <v>100</v>
      </c>
      <c r="H239" s="13">
        <f>H240+H241+H242+H243</f>
        <v>781.8</v>
      </c>
      <c r="I239" s="13">
        <f t="shared" ref="I239:AE239" si="228">I240+I241+I242+I243</f>
        <v>781.8</v>
      </c>
      <c r="J239" s="13">
        <f t="shared" si="228"/>
        <v>1339.8</v>
      </c>
      <c r="K239" s="13">
        <f t="shared" si="228"/>
        <v>1339.8</v>
      </c>
      <c r="L239" s="13">
        <f t="shared" si="228"/>
        <v>1267.3</v>
      </c>
      <c r="M239" s="13">
        <f t="shared" si="228"/>
        <v>1267.3</v>
      </c>
      <c r="N239" s="13">
        <f t="shared" si="228"/>
        <v>1228.9000000000001</v>
      </c>
      <c r="O239" s="13">
        <f t="shared" si="228"/>
        <v>1228.9000000000001</v>
      </c>
      <c r="P239" s="13">
        <f t="shared" si="228"/>
        <v>2063.9</v>
      </c>
      <c r="Q239" s="13">
        <f t="shared" si="228"/>
        <v>2063.9</v>
      </c>
      <c r="R239" s="13">
        <f t="shared" si="228"/>
        <v>1725</v>
      </c>
      <c r="S239" s="13">
        <f t="shared" si="228"/>
        <v>1725</v>
      </c>
      <c r="T239" s="13">
        <f t="shared" si="228"/>
        <v>920.8</v>
      </c>
      <c r="U239" s="13">
        <f t="shared" si="228"/>
        <v>920.8</v>
      </c>
      <c r="V239" s="13">
        <f t="shared" si="228"/>
        <v>953.1</v>
      </c>
      <c r="W239" s="13">
        <f t="shared" si="228"/>
        <v>953.1</v>
      </c>
      <c r="X239" s="13">
        <f t="shared" si="228"/>
        <v>1094.5999999999999</v>
      </c>
      <c r="Y239" s="13">
        <f t="shared" si="228"/>
        <v>1094.5999999999999</v>
      </c>
      <c r="Z239" s="13">
        <f t="shared" si="228"/>
        <v>1319.8</v>
      </c>
      <c r="AA239" s="13">
        <f t="shared" si="228"/>
        <v>1319.8</v>
      </c>
      <c r="AB239" s="13">
        <f t="shared" si="228"/>
        <v>1459.1</v>
      </c>
      <c r="AC239" s="13">
        <f t="shared" si="228"/>
        <v>0</v>
      </c>
      <c r="AD239" s="13">
        <f t="shared" si="228"/>
        <v>1309.7</v>
      </c>
      <c r="AE239" s="13">
        <f t="shared" si="228"/>
        <v>0</v>
      </c>
      <c r="AF239" s="111" t="s">
        <v>82</v>
      </c>
      <c r="AG239" s="15"/>
      <c r="AH239" s="15"/>
      <c r="AI239" s="15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</row>
    <row r="240" spans="1:62" ht="18.75" x14ac:dyDescent="0.3">
      <c r="A240" s="22" t="s">
        <v>28</v>
      </c>
      <c r="B240" s="46"/>
      <c r="C240" s="46"/>
      <c r="D240" s="46"/>
      <c r="E240" s="46"/>
      <c r="F240" s="46"/>
      <c r="G240" s="4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12"/>
      <c r="AG240" s="15"/>
      <c r="AH240" s="15"/>
      <c r="AI240" s="15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</row>
    <row r="241" spans="1:62" ht="18.75" x14ac:dyDescent="0.3">
      <c r="A241" s="22" t="s">
        <v>29</v>
      </c>
      <c r="B241" s="23">
        <f>H241+J241+L241+N241+P241+R241+T241+V241+X241+Z241+AB241+AD241</f>
        <v>15463.8</v>
      </c>
      <c r="C241" s="30">
        <f>H241+J241+L241+N241+P241+R241+T241+V241+X241+Z241</f>
        <v>12694.999999999998</v>
      </c>
      <c r="D241" s="23">
        <f>E241</f>
        <v>12694.999999999998</v>
      </c>
      <c r="E241" s="30">
        <f>I241+K241+M241+O241+Q241+S241+U241+W241+Y241+AA241+AC241+AE241</f>
        <v>12694.999999999998</v>
      </c>
      <c r="F241" s="24">
        <f>E241/B241*100</f>
        <v>82.094957255008467</v>
      </c>
      <c r="G241" s="24">
        <f>E241/C241*100</f>
        <v>100</v>
      </c>
      <c r="H241" s="23">
        <v>781.8</v>
      </c>
      <c r="I241" s="23">
        <v>781.8</v>
      </c>
      <c r="J241" s="23">
        <v>1339.8</v>
      </c>
      <c r="K241" s="23">
        <v>1339.8</v>
      </c>
      <c r="L241" s="23">
        <v>1267.3</v>
      </c>
      <c r="M241" s="23">
        <v>1267.3</v>
      </c>
      <c r="N241" s="23">
        <v>1228.9000000000001</v>
      </c>
      <c r="O241" s="23">
        <v>1228.9000000000001</v>
      </c>
      <c r="P241" s="23">
        <v>2063.9</v>
      </c>
      <c r="Q241" s="23">
        <v>2063.9</v>
      </c>
      <c r="R241" s="23">
        <v>1725</v>
      </c>
      <c r="S241" s="23">
        <v>1725</v>
      </c>
      <c r="T241" s="23">
        <v>920.8</v>
      </c>
      <c r="U241" s="23">
        <v>920.8</v>
      </c>
      <c r="V241" s="23">
        <f>683.1+270</f>
        <v>953.1</v>
      </c>
      <c r="W241" s="23">
        <v>953.1</v>
      </c>
      <c r="X241" s="23">
        <f>919.9-270+444.7</f>
        <v>1094.5999999999999</v>
      </c>
      <c r="Y241" s="23">
        <v>1094.5999999999999</v>
      </c>
      <c r="Z241" s="23">
        <v>1319.8</v>
      </c>
      <c r="AA241" s="23">
        <v>1319.8</v>
      </c>
      <c r="AB241" s="23">
        <f>1287.6+171.5</f>
        <v>1459.1</v>
      </c>
      <c r="AC241" s="23"/>
      <c r="AD241" s="23">
        <f>1754.4-444.7</f>
        <v>1309.7</v>
      </c>
      <c r="AE241" s="23"/>
      <c r="AF241" s="112"/>
      <c r="AG241" s="15"/>
      <c r="AH241" s="15"/>
      <c r="AI241" s="15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</row>
    <row r="242" spans="1:62" ht="18.75" x14ac:dyDescent="0.3">
      <c r="A242" s="22" t="s">
        <v>30</v>
      </c>
      <c r="B242" s="46"/>
      <c r="C242" s="46"/>
      <c r="D242" s="46"/>
      <c r="E242" s="46"/>
      <c r="F242" s="46"/>
      <c r="G242" s="4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12"/>
      <c r="AG242" s="15"/>
      <c r="AH242" s="15"/>
      <c r="AI242" s="15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</row>
    <row r="243" spans="1:62" ht="18.75" x14ac:dyDescent="0.3">
      <c r="A243" s="22" t="s">
        <v>31</v>
      </c>
      <c r="B243" s="46"/>
      <c r="C243" s="46"/>
      <c r="D243" s="46"/>
      <c r="E243" s="46"/>
      <c r="F243" s="46"/>
      <c r="G243" s="46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13"/>
      <c r="AG243" s="15"/>
      <c r="AH243" s="15"/>
      <c r="AI243" s="15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</row>
    <row r="244" spans="1:62" ht="20.25" x14ac:dyDescent="0.25">
      <c r="A244" s="108" t="s">
        <v>83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3"/>
      <c r="AF244" s="36"/>
      <c r="AG244" s="15"/>
      <c r="AH244" s="15"/>
      <c r="AI244" s="15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</row>
    <row r="245" spans="1:62" ht="18.75" x14ac:dyDescent="0.25">
      <c r="A245" s="58" t="s">
        <v>27</v>
      </c>
      <c r="B245" s="13">
        <f>B246+B247+B249+B250</f>
        <v>275164.7</v>
      </c>
      <c r="C245" s="13">
        <f>C246+C247+C249+C250</f>
        <v>234384.5</v>
      </c>
      <c r="D245" s="13">
        <f>D246+D247+D249+D250</f>
        <v>184347.7</v>
      </c>
      <c r="E245" s="13">
        <f>E246+E247+E249+E250</f>
        <v>184347.7</v>
      </c>
      <c r="F245" s="21">
        <f>E245/B245*100</f>
        <v>66.995403116751532</v>
      </c>
      <c r="G245" s="21">
        <f>E245/C245*100</f>
        <v>78.65183064579783</v>
      </c>
      <c r="H245" s="13">
        <f t="shared" ref="H245:AE245" si="229">H246+H247+H249+H250</f>
        <v>15942.6</v>
      </c>
      <c r="I245" s="13">
        <f t="shared" si="229"/>
        <v>7178.5999999999995</v>
      </c>
      <c r="J245" s="13">
        <f t="shared" si="229"/>
        <v>22920.5</v>
      </c>
      <c r="K245" s="13">
        <f t="shared" si="229"/>
        <v>8589.7999999999993</v>
      </c>
      <c r="L245" s="13">
        <f>L246+L247+L249+L250</f>
        <v>23315.7</v>
      </c>
      <c r="M245" s="13">
        <f t="shared" si="229"/>
        <v>11509.199999999999</v>
      </c>
      <c r="N245" s="13">
        <f>N246+N247+N249+N250</f>
        <v>23211.9</v>
      </c>
      <c r="O245" s="13">
        <f t="shared" si="229"/>
        <v>23437.800000000003</v>
      </c>
      <c r="P245" s="13">
        <f t="shared" si="229"/>
        <v>29656.899999999998</v>
      </c>
      <c r="Q245" s="13">
        <f t="shared" si="229"/>
        <v>25339.899999999998</v>
      </c>
      <c r="R245" s="13">
        <f t="shared" si="229"/>
        <v>16339.6</v>
      </c>
      <c r="S245" s="13">
        <f t="shared" si="229"/>
        <v>14971.599999999999</v>
      </c>
      <c r="T245" s="13">
        <f t="shared" si="229"/>
        <v>34558.600000000006</v>
      </c>
      <c r="U245" s="13">
        <f t="shared" si="229"/>
        <v>10163.6</v>
      </c>
      <c r="V245" s="13">
        <f t="shared" si="229"/>
        <v>31336.1</v>
      </c>
      <c r="W245" s="13">
        <f t="shared" si="229"/>
        <v>45016.5</v>
      </c>
      <c r="X245" s="13">
        <f t="shared" si="229"/>
        <v>14895.6</v>
      </c>
      <c r="Y245" s="13">
        <f t="shared" si="229"/>
        <v>12949.4</v>
      </c>
      <c r="Z245" s="13">
        <f t="shared" si="229"/>
        <v>22207</v>
      </c>
      <c r="AA245" s="13">
        <f t="shared" si="229"/>
        <v>25191.3</v>
      </c>
      <c r="AB245" s="13">
        <f t="shared" si="229"/>
        <v>22779.4</v>
      </c>
      <c r="AC245" s="13">
        <f t="shared" si="229"/>
        <v>0</v>
      </c>
      <c r="AD245" s="13">
        <f t="shared" si="229"/>
        <v>18000.8</v>
      </c>
      <c r="AE245" s="13">
        <f t="shared" si="229"/>
        <v>0</v>
      </c>
      <c r="AF245" s="36"/>
      <c r="AG245" s="15"/>
      <c r="AH245" s="15"/>
      <c r="AI245" s="15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</row>
    <row r="246" spans="1:62" ht="18.75" x14ac:dyDescent="0.3">
      <c r="A246" s="22" t="s">
        <v>28</v>
      </c>
      <c r="B246" s="23">
        <f>B253+B259</f>
        <v>139653.29999999999</v>
      </c>
      <c r="C246" s="23">
        <f>C253+C259</f>
        <v>111846.59999999999</v>
      </c>
      <c r="D246" s="23">
        <f>D253+D259</f>
        <v>84659.6</v>
      </c>
      <c r="E246" s="23">
        <f>E253+E259</f>
        <v>84659.6</v>
      </c>
      <c r="F246" s="24">
        <f>E246/B246*100</f>
        <v>60.621267095013167</v>
      </c>
      <c r="G246" s="24">
        <f>E246/C246*100</f>
        <v>75.692600400906258</v>
      </c>
      <c r="H246" s="23">
        <f>H253+H259</f>
        <v>11764</v>
      </c>
      <c r="I246" s="23">
        <f>I253+I259</f>
        <v>3000</v>
      </c>
      <c r="J246" s="23">
        <f t="shared" ref="J246:AD247" si="230">J253+J259</f>
        <v>16317.5</v>
      </c>
      <c r="K246" s="23">
        <f>K253+K259</f>
        <v>8199.9</v>
      </c>
      <c r="L246" s="23">
        <f t="shared" si="230"/>
        <v>15931.5</v>
      </c>
      <c r="M246" s="23">
        <f>M253+M259</f>
        <v>7824.7</v>
      </c>
      <c r="N246" s="23">
        <f t="shared" si="230"/>
        <v>15927.5</v>
      </c>
      <c r="O246" s="23">
        <f>O253+O259</f>
        <v>16956.900000000001</v>
      </c>
      <c r="P246" s="23">
        <f t="shared" si="230"/>
        <v>15236.3</v>
      </c>
      <c r="Q246" s="23">
        <f>Q253+Q259</f>
        <v>12395.6</v>
      </c>
      <c r="R246" s="23">
        <f t="shared" si="230"/>
        <v>9553.9</v>
      </c>
      <c r="S246" s="23">
        <f>S253+S259</f>
        <v>8968.7999999999993</v>
      </c>
      <c r="T246" s="23">
        <f t="shared" si="230"/>
        <v>0</v>
      </c>
      <c r="U246" s="23">
        <f>U253+U259</f>
        <v>0</v>
      </c>
      <c r="V246" s="23">
        <f t="shared" si="230"/>
        <v>0</v>
      </c>
      <c r="W246" s="23">
        <f>W253+W259</f>
        <v>0</v>
      </c>
      <c r="X246" s="23">
        <f t="shared" si="230"/>
        <v>10995.9</v>
      </c>
      <c r="Y246" s="23">
        <f>Y253+Y259</f>
        <v>8733.6</v>
      </c>
      <c r="Z246" s="23">
        <f t="shared" si="230"/>
        <v>16120</v>
      </c>
      <c r="AA246" s="23">
        <f>AA253+AA259</f>
        <v>18580.099999999999</v>
      </c>
      <c r="AB246" s="23">
        <f t="shared" si="230"/>
        <v>15442.9</v>
      </c>
      <c r="AC246" s="23">
        <f>AC253+AC259</f>
        <v>0</v>
      </c>
      <c r="AD246" s="23">
        <f t="shared" si="230"/>
        <v>12363.8</v>
      </c>
      <c r="AE246" s="23">
        <f>AE253+AE259</f>
        <v>0</v>
      </c>
      <c r="AF246" s="36"/>
      <c r="AG246" s="15"/>
      <c r="AH246" s="15"/>
      <c r="AI246" s="15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</row>
    <row r="247" spans="1:62" ht="18.75" x14ac:dyDescent="0.3">
      <c r="A247" s="22" t="s">
        <v>29</v>
      </c>
      <c r="B247" s="23">
        <f>B254+B260</f>
        <v>120025.70000000001</v>
      </c>
      <c r="C247" s="23">
        <f t="shared" ref="C247:E247" si="231">C254+C260</f>
        <v>111214.1</v>
      </c>
      <c r="D247" s="23">
        <f t="shared" si="231"/>
        <v>91102.1</v>
      </c>
      <c r="E247" s="23">
        <f t="shared" si="231"/>
        <v>91102.1</v>
      </c>
      <c r="F247" s="24">
        <f>E247/B247*100</f>
        <v>75.902160953862378</v>
      </c>
      <c r="G247" s="24">
        <f>E247/C247*100</f>
        <v>81.915962094734397</v>
      </c>
      <c r="H247" s="23">
        <f>H254+H260</f>
        <v>3210.7</v>
      </c>
      <c r="I247" s="23">
        <f>I254+I260</f>
        <v>3210.7</v>
      </c>
      <c r="J247" s="23">
        <f>J254+J260</f>
        <v>4764.1000000000004</v>
      </c>
      <c r="K247" s="23">
        <f>K254+K260</f>
        <v>333.6</v>
      </c>
      <c r="L247" s="23">
        <f t="shared" si="230"/>
        <v>5545.3</v>
      </c>
      <c r="M247" s="23">
        <f>M254+M260</f>
        <v>3009.6</v>
      </c>
      <c r="N247" s="23">
        <f t="shared" si="230"/>
        <v>5445.5</v>
      </c>
      <c r="O247" s="23">
        <f>O254+O260</f>
        <v>4862.3999999999996</v>
      </c>
      <c r="P247" s="23">
        <f t="shared" si="230"/>
        <v>12968.8</v>
      </c>
      <c r="Q247" s="23">
        <f>Q254+Q260</f>
        <v>11606</v>
      </c>
      <c r="R247" s="23">
        <f>R254+R260</f>
        <v>6301.8</v>
      </c>
      <c r="S247" s="23">
        <f>S254+S260</f>
        <v>5049</v>
      </c>
      <c r="T247" s="23">
        <f t="shared" si="230"/>
        <v>34558.600000000006</v>
      </c>
      <c r="U247" s="23">
        <f>U254+U260</f>
        <v>10163.6</v>
      </c>
      <c r="V247" s="23">
        <f t="shared" si="230"/>
        <v>31336.1</v>
      </c>
      <c r="W247" s="23">
        <f>W254+W260</f>
        <v>45016.5</v>
      </c>
      <c r="X247" s="23">
        <f t="shared" si="230"/>
        <v>2835.1</v>
      </c>
      <c r="Y247" s="23">
        <f>Y254+Y260</f>
        <v>3182.9</v>
      </c>
      <c r="Z247" s="23">
        <f t="shared" si="230"/>
        <v>4248.0999999999995</v>
      </c>
      <c r="AA247" s="23">
        <f>AA254+AA260</f>
        <v>4667.8</v>
      </c>
      <c r="AB247" s="23">
        <f t="shared" si="230"/>
        <v>5691.1</v>
      </c>
      <c r="AC247" s="23">
        <f>AC254+AC260</f>
        <v>0</v>
      </c>
      <c r="AD247" s="23">
        <f>AE254+AD260</f>
        <v>3120.5</v>
      </c>
      <c r="AE247" s="23">
        <f>AE254+AE260</f>
        <v>0</v>
      </c>
      <c r="AF247" s="36"/>
      <c r="AG247" s="15"/>
      <c r="AH247" s="15"/>
      <c r="AI247" s="15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</row>
    <row r="248" spans="1:62" ht="37.5" x14ac:dyDescent="0.3">
      <c r="A248" s="22" t="s">
        <v>44</v>
      </c>
      <c r="B248" s="23">
        <f>B261</f>
        <v>1872.2000000000003</v>
      </c>
      <c r="C248" s="23">
        <f>C261</f>
        <v>1369.0000000000002</v>
      </c>
      <c r="D248" s="23">
        <f>D261</f>
        <v>1038.0999999999999</v>
      </c>
      <c r="E248" s="23">
        <f>E261</f>
        <v>1038.0999999999999</v>
      </c>
      <c r="F248" s="24">
        <f>E248/B248*100</f>
        <v>55.448135882918479</v>
      </c>
      <c r="G248" s="24">
        <f>E248/C248*100</f>
        <v>75.82907231555879</v>
      </c>
      <c r="H248" s="23">
        <f t="shared" ref="H248:AE248" si="232">H261</f>
        <v>117</v>
      </c>
      <c r="I248" s="23">
        <f t="shared" si="232"/>
        <v>117</v>
      </c>
      <c r="J248" s="23">
        <f t="shared" si="232"/>
        <v>222.3</v>
      </c>
      <c r="K248" s="23">
        <f t="shared" si="232"/>
        <v>6.8</v>
      </c>
      <c r="L248" s="23">
        <f t="shared" si="232"/>
        <v>222.3</v>
      </c>
      <c r="M248" s="23">
        <f t="shared" si="232"/>
        <v>81.599999999999994</v>
      </c>
      <c r="N248" s="23">
        <f t="shared" si="232"/>
        <v>222.3</v>
      </c>
      <c r="O248" s="23">
        <f t="shared" si="232"/>
        <v>195.6</v>
      </c>
      <c r="P248" s="23">
        <f t="shared" si="232"/>
        <v>175.5</v>
      </c>
      <c r="Q248" s="23">
        <f t="shared" si="232"/>
        <v>161.9</v>
      </c>
      <c r="R248" s="23">
        <f t="shared" si="232"/>
        <v>58.5</v>
      </c>
      <c r="S248" s="23">
        <f t="shared" si="232"/>
        <v>115.3</v>
      </c>
      <c r="T248" s="23">
        <f t="shared" si="232"/>
        <v>0</v>
      </c>
      <c r="U248" s="23">
        <f t="shared" si="232"/>
        <v>0</v>
      </c>
      <c r="V248" s="23">
        <f t="shared" si="232"/>
        <v>0</v>
      </c>
      <c r="W248" s="23">
        <f t="shared" si="232"/>
        <v>0</v>
      </c>
      <c r="X248" s="23">
        <f t="shared" si="232"/>
        <v>128.69999999999999</v>
      </c>
      <c r="Y248" s="23">
        <f t="shared" si="232"/>
        <v>124.9</v>
      </c>
      <c r="Z248" s="23">
        <f t="shared" si="232"/>
        <v>222.4</v>
      </c>
      <c r="AA248" s="23">
        <f t="shared" si="232"/>
        <v>235</v>
      </c>
      <c r="AB248" s="23">
        <f t="shared" si="232"/>
        <v>198.9</v>
      </c>
      <c r="AC248" s="23">
        <f t="shared" si="232"/>
        <v>0</v>
      </c>
      <c r="AD248" s="23">
        <f t="shared" si="232"/>
        <v>304.3</v>
      </c>
      <c r="AE248" s="23">
        <f t="shared" si="232"/>
        <v>0</v>
      </c>
      <c r="AF248" s="36"/>
      <c r="AG248" s="15"/>
      <c r="AH248" s="15"/>
      <c r="AI248" s="15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</row>
    <row r="249" spans="1:62" ht="18.75" x14ac:dyDescent="0.3">
      <c r="A249" s="22" t="s">
        <v>30</v>
      </c>
      <c r="B249" s="29">
        <f t="shared" ref="B249:E250" si="233">B255+B262</f>
        <v>15485.7</v>
      </c>
      <c r="C249" s="29">
        <f t="shared" si="233"/>
        <v>11323.800000000001</v>
      </c>
      <c r="D249" s="29">
        <f t="shared" si="233"/>
        <v>8586</v>
      </c>
      <c r="E249" s="29">
        <f t="shared" si="233"/>
        <v>8586</v>
      </c>
      <c r="F249" s="24">
        <f>E249/B249*100</f>
        <v>55.444700594742244</v>
      </c>
      <c r="G249" s="24">
        <f>E249/C249*100</f>
        <v>75.822603719599428</v>
      </c>
      <c r="H249" s="29">
        <f t="shared" ref="H249:AE249" si="234">H255+H262</f>
        <v>967.9</v>
      </c>
      <c r="I249" s="29">
        <f t="shared" si="234"/>
        <v>967.9</v>
      </c>
      <c r="J249" s="29">
        <f t="shared" si="234"/>
        <v>1838.9</v>
      </c>
      <c r="K249" s="29">
        <f t="shared" si="234"/>
        <v>56.3</v>
      </c>
      <c r="L249" s="29">
        <f t="shared" si="234"/>
        <v>1838.9</v>
      </c>
      <c r="M249" s="29">
        <f t="shared" si="234"/>
        <v>674.9</v>
      </c>
      <c r="N249" s="29">
        <f t="shared" si="234"/>
        <v>1838.9</v>
      </c>
      <c r="O249" s="29">
        <f t="shared" si="234"/>
        <v>1618.5</v>
      </c>
      <c r="P249" s="29">
        <f t="shared" si="234"/>
        <v>1451.8</v>
      </c>
      <c r="Q249" s="29">
        <f t="shared" si="234"/>
        <v>1338.3</v>
      </c>
      <c r="R249" s="29">
        <f t="shared" si="234"/>
        <v>483.9</v>
      </c>
      <c r="S249" s="29">
        <f t="shared" si="234"/>
        <v>953.8</v>
      </c>
      <c r="T249" s="29">
        <f t="shared" si="234"/>
        <v>0</v>
      </c>
      <c r="U249" s="29">
        <f t="shared" si="234"/>
        <v>0</v>
      </c>
      <c r="V249" s="29">
        <f t="shared" si="234"/>
        <v>0</v>
      </c>
      <c r="W249" s="29">
        <f t="shared" si="234"/>
        <v>0</v>
      </c>
      <c r="X249" s="29">
        <f t="shared" si="234"/>
        <v>1064.5999999999999</v>
      </c>
      <c r="Y249" s="29">
        <f t="shared" si="234"/>
        <v>1032.9000000000001</v>
      </c>
      <c r="Z249" s="29">
        <f t="shared" si="234"/>
        <v>1838.9</v>
      </c>
      <c r="AA249" s="29">
        <f t="shared" si="234"/>
        <v>1943.4</v>
      </c>
      <c r="AB249" s="29">
        <f t="shared" si="234"/>
        <v>1645.4</v>
      </c>
      <c r="AC249" s="29">
        <f t="shared" si="234"/>
        <v>0</v>
      </c>
      <c r="AD249" s="29">
        <f t="shared" si="234"/>
        <v>2516.5</v>
      </c>
      <c r="AE249" s="29">
        <f t="shared" si="234"/>
        <v>0</v>
      </c>
      <c r="AF249" s="36"/>
      <c r="AG249" s="15"/>
      <c r="AH249" s="15"/>
      <c r="AI249" s="15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</row>
    <row r="250" spans="1:62" ht="18.75" x14ac:dyDescent="0.3">
      <c r="A250" s="22" t="s">
        <v>31</v>
      </c>
      <c r="B250" s="23">
        <f t="shared" si="233"/>
        <v>0</v>
      </c>
      <c r="C250" s="23">
        <f t="shared" si="233"/>
        <v>0</v>
      </c>
      <c r="D250" s="23">
        <f t="shared" si="233"/>
        <v>0</v>
      </c>
      <c r="E250" s="23">
        <f t="shared" si="233"/>
        <v>0</v>
      </c>
      <c r="F250" s="24" t="e">
        <f t="shared" ref="F250:F254" si="235">E250/B250*100</f>
        <v>#DIV/0!</v>
      </c>
      <c r="G250" s="24" t="e">
        <f t="shared" ref="G250:G254" si="236">E250/C250*100</f>
        <v>#DIV/0!</v>
      </c>
      <c r="H250" s="23">
        <f>H256</f>
        <v>0</v>
      </c>
      <c r="I250" s="23">
        <f t="shared" ref="I250:AE250" si="237">I256</f>
        <v>0</v>
      </c>
      <c r="J250" s="23">
        <f t="shared" si="237"/>
        <v>0</v>
      </c>
      <c r="K250" s="23">
        <f t="shared" si="237"/>
        <v>0</v>
      </c>
      <c r="L250" s="23">
        <f t="shared" si="237"/>
        <v>0</v>
      </c>
      <c r="M250" s="23">
        <f t="shared" si="237"/>
        <v>0</v>
      </c>
      <c r="N250" s="23">
        <f t="shared" si="237"/>
        <v>0</v>
      </c>
      <c r="O250" s="23">
        <f t="shared" si="237"/>
        <v>0</v>
      </c>
      <c r="P250" s="23">
        <f t="shared" si="237"/>
        <v>0</v>
      </c>
      <c r="Q250" s="23">
        <f t="shared" si="237"/>
        <v>0</v>
      </c>
      <c r="R250" s="23">
        <f>R256</f>
        <v>0</v>
      </c>
      <c r="S250" s="23">
        <f t="shared" si="237"/>
        <v>0</v>
      </c>
      <c r="T250" s="23">
        <f t="shared" si="237"/>
        <v>0</v>
      </c>
      <c r="U250" s="23">
        <f t="shared" si="237"/>
        <v>0</v>
      </c>
      <c r="V250" s="23">
        <f t="shared" si="237"/>
        <v>0</v>
      </c>
      <c r="W250" s="23">
        <f t="shared" si="237"/>
        <v>0</v>
      </c>
      <c r="X250" s="23">
        <f t="shared" si="237"/>
        <v>0</v>
      </c>
      <c r="Y250" s="23">
        <f t="shared" si="237"/>
        <v>0</v>
      </c>
      <c r="Z250" s="23">
        <f t="shared" si="237"/>
        <v>0</v>
      </c>
      <c r="AA250" s="23">
        <f t="shared" si="237"/>
        <v>0</v>
      </c>
      <c r="AB250" s="23">
        <f t="shared" si="237"/>
        <v>0</v>
      </c>
      <c r="AC250" s="23">
        <f t="shared" si="237"/>
        <v>0</v>
      </c>
      <c r="AD250" s="23">
        <f t="shared" si="237"/>
        <v>0</v>
      </c>
      <c r="AE250" s="23">
        <f t="shared" si="237"/>
        <v>0</v>
      </c>
      <c r="AF250" s="36"/>
      <c r="AG250" s="15"/>
      <c r="AH250" s="15"/>
      <c r="AI250" s="15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</row>
    <row r="251" spans="1:62" ht="18.75" x14ac:dyDescent="0.25">
      <c r="A251" s="105" t="s">
        <v>84</v>
      </c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7"/>
      <c r="AF251" s="36"/>
      <c r="AG251" s="15"/>
      <c r="AH251" s="15"/>
      <c r="AI251" s="15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</row>
    <row r="252" spans="1:62" ht="18.75" x14ac:dyDescent="0.25">
      <c r="A252" s="58" t="s">
        <v>27</v>
      </c>
      <c r="B252" s="13">
        <f>B253+B254+B256+B257</f>
        <v>80890.3</v>
      </c>
      <c r="C252" s="13">
        <f>C253+C254+C256+C257</f>
        <v>77941.100000000006</v>
      </c>
      <c r="D252" s="13">
        <f>D253+D254+D256+D257</f>
        <v>67509.100000000006</v>
      </c>
      <c r="E252" s="13">
        <f>E253+E254+E256+E257</f>
        <v>67509.100000000006</v>
      </c>
      <c r="F252" s="21">
        <f t="shared" si="235"/>
        <v>83.457596275449603</v>
      </c>
      <c r="G252" s="21">
        <f t="shared" si="236"/>
        <v>86.615534037882455</v>
      </c>
      <c r="H252" s="13"/>
      <c r="I252" s="13"/>
      <c r="J252" s="13">
        <f>J253+J254+J255+J256</f>
        <v>0</v>
      </c>
      <c r="K252" s="13">
        <f t="shared" ref="K252:AB252" si="238">K253+K254+K255+K256</f>
        <v>0</v>
      </c>
      <c r="L252" s="13">
        <f t="shared" si="238"/>
        <v>600</v>
      </c>
      <c r="M252" s="13">
        <f t="shared" si="238"/>
        <v>0</v>
      </c>
      <c r="N252" s="13">
        <f t="shared" si="238"/>
        <v>500.2</v>
      </c>
      <c r="O252" s="13">
        <f t="shared" si="238"/>
        <v>500.2</v>
      </c>
      <c r="P252" s="13">
        <f t="shared" si="238"/>
        <v>8103.4</v>
      </c>
      <c r="Q252" s="13">
        <f t="shared" si="238"/>
        <v>8103.4</v>
      </c>
      <c r="R252" s="13">
        <f t="shared" si="238"/>
        <v>2806.9</v>
      </c>
      <c r="S252" s="13">
        <f t="shared" si="238"/>
        <v>2806.9</v>
      </c>
      <c r="T252" s="13">
        <f t="shared" si="238"/>
        <v>34558.600000000006</v>
      </c>
      <c r="U252" s="13">
        <f t="shared" si="238"/>
        <v>10163.6</v>
      </c>
      <c r="V252" s="13">
        <f t="shared" si="238"/>
        <v>31336.1</v>
      </c>
      <c r="W252" s="13">
        <f t="shared" si="238"/>
        <v>45016.5</v>
      </c>
      <c r="X252" s="13">
        <f t="shared" si="238"/>
        <v>0</v>
      </c>
      <c r="Y252" s="13">
        <f t="shared" si="238"/>
        <v>918.5</v>
      </c>
      <c r="Z252" s="13">
        <f t="shared" si="238"/>
        <v>35.9</v>
      </c>
      <c r="AA252" s="13">
        <f t="shared" si="238"/>
        <v>0</v>
      </c>
      <c r="AB252" s="13">
        <f t="shared" si="238"/>
        <v>2949.2</v>
      </c>
      <c r="AC252" s="13">
        <f>AC253+AC254+AC255+AC256</f>
        <v>0</v>
      </c>
      <c r="AD252" s="13">
        <f>AD253+AE254+AD255+AD256</f>
        <v>0</v>
      </c>
      <c r="AE252" s="13">
        <f>AE253+AE254+AE255+AE256</f>
        <v>0</v>
      </c>
      <c r="AF252" s="36"/>
      <c r="AG252" s="15"/>
      <c r="AH252" s="15"/>
      <c r="AI252" s="15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</row>
    <row r="253" spans="1:62" ht="18.75" x14ac:dyDescent="0.25">
      <c r="A253" s="59" t="s">
        <v>28</v>
      </c>
      <c r="B253" s="23">
        <f>H253+J253+L253+N253+P253+R253+T253+V253+X253+Z253+AB253+AD253</f>
        <v>0</v>
      </c>
      <c r="C253" s="23"/>
      <c r="D253" s="23"/>
      <c r="E253" s="23"/>
      <c r="F253" s="24"/>
      <c r="G253" s="24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36"/>
      <c r="AG253" s="15"/>
      <c r="AH253" s="15"/>
      <c r="AI253" s="15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</row>
    <row r="254" spans="1:62" ht="37.5" x14ac:dyDescent="0.25">
      <c r="A254" s="59" t="s">
        <v>85</v>
      </c>
      <c r="B254" s="23">
        <f>H254+J254+L254+N254+P254+R254+T254+V254+X254+Z254+AB254+AD254</f>
        <v>80890.3</v>
      </c>
      <c r="C254" s="30">
        <f>H254+J254+L254+N254+P254+R254+T254+V254+X254+Z254</f>
        <v>77941.100000000006</v>
      </c>
      <c r="D254" s="23">
        <f>E254</f>
        <v>67509.100000000006</v>
      </c>
      <c r="E254" s="30">
        <f>I254+K254+M254+O254+Q254+S254+U254+W254+Y254+AA254+AC254+AE254</f>
        <v>67509.100000000006</v>
      </c>
      <c r="F254" s="24">
        <f t="shared" si="235"/>
        <v>83.457596275449603</v>
      </c>
      <c r="G254" s="24">
        <f t="shared" si="236"/>
        <v>86.615534037882455</v>
      </c>
      <c r="H254" s="13"/>
      <c r="I254" s="13"/>
      <c r="J254" s="23"/>
      <c r="K254" s="23"/>
      <c r="L254" s="23">
        <v>600</v>
      </c>
      <c r="M254" s="23"/>
      <c r="N254" s="23">
        <v>500.2</v>
      </c>
      <c r="O254" s="23">
        <v>500.2</v>
      </c>
      <c r="P254" s="23">
        <v>8103.4</v>
      </c>
      <c r="Q254" s="23">
        <v>8103.4</v>
      </c>
      <c r="R254" s="23">
        <f>350+2456.9</f>
        <v>2806.9</v>
      </c>
      <c r="S254" s="23">
        <v>2806.9</v>
      </c>
      <c r="T254" s="23">
        <f>18603.3+21303-5347.7</f>
        <v>34558.600000000006</v>
      </c>
      <c r="U254" s="23">
        <v>10163.6</v>
      </c>
      <c r="V254" s="23">
        <f>28445.3-2456.9+5347.7</f>
        <v>31336.1</v>
      </c>
      <c r="W254" s="23">
        <v>45016.5</v>
      </c>
      <c r="X254" s="23"/>
      <c r="Y254" s="23">
        <v>918.5</v>
      </c>
      <c r="Z254" s="23">
        <v>35.9</v>
      </c>
      <c r="AA254" s="23"/>
      <c r="AB254" s="23">
        <v>2949.2</v>
      </c>
      <c r="AC254" s="23"/>
      <c r="AD254" s="23"/>
      <c r="AE254" s="23"/>
      <c r="AF254" s="36" t="s">
        <v>98</v>
      </c>
      <c r="AG254" s="15"/>
      <c r="AH254" s="15"/>
      <c r="AI254" s="15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</row>
    <row r="255" spans="1:62" ht="18.75" x14ac:dyDescent="0.3">
      <c r="A255" s="22" t="s">
        <v>30</v>
      </c>
      <c r="B255" s="46"/>
      <c r="C255" s="46"/>
      <c r="D255" s="46"/>
      <c r="E255" s="46"/>
      <c r="F255" s="46"/>
      <c r="G255" s="4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36"/>
      <c r="AG255" s="15"/>
      <c r="AH255" s="15"/>
      <c r="AI255" s="15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</row>
    <row r="256" spans="1:62" ht="18.75" x14ac:dyDescent="0.3">
      <c r="A256" s="22" t="s">
        <v>31</v>
      </c>
      <c r="B256" s="23">
        <f>R256+X256+Z256+T256+V256</f>
        <v>0</v>
      </c>
      <c r="C256" s="30"/>
      <c r="D256" s="23"/>
      <c r="E256" s="30">
        <f>I256+K256+M256+O256+Q256+S256+U256+W256+Y256+AA256+AC256+AE256</f>
        <v>0</v>
      </c>
      <c r="F256" s="24" t="e">
        <f>E256/B256*100</f>
        <v>#DIV/0!</v>
      </c>
      <c r="G256" s="24" t="e">
        <f>E256/C256*100</f>
        <v>#DIV/0!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36"/>
      <c r="AG256" s="15"/>
      <c r="AH256" s="15"/>
      <c r="AI256" s="15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</row>
    <row r="257" spans="1:62" ht="18.75" x14ac:dyDescent="0.25">
      <c r="A257" s="105" t="s">
        <v>86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7"/>
      <c r="AF257" s="111" t="s">
        <v>131</v>
      </c>
      <c r="AG257" s="15"/>
      <c r="AH257" s="15"/>
      <c r="AI257" s="15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</row>
    <row r="258" spans="1:62" ht="18.75" x14ac:dyDescent="0.3">
      <c r="A258" s="19" t="s">
        <v>27</v>
      </c>
      <c r="B258" s="13">
        <f>B259+B260+B262+B263</f>
        <v>194274.4</v>
      </c>
      <c r="C258" s="13">
        <f>C259+C260+C262+C263</f>
        <v>156443.39999999997</v>
      </c>
      <c r="D258" s="13">
        <f>D259+D260+D262+D263</f>
        <v>116838.6</v>
      </c>
      <c r="E258" s="13">
        <f>E259+E260+E262+E263</f>
        <v>116838.6</v>
      </c>
      <c r="F258" s="21">
        <f>E258/B258*100</f>
        <v>60.141017035697963</v>
      </c>
      <c r="G258" s="21">
        <f>E258/C258*100</f>
        <v>74.68426280686819</v>
      </c>
      <c r="H258" s="13">
        <f t="shared" ref="H258:AE258" si="239">H259+H260+H262+H263</f>
        <v>15942.6</v>
      </c>
      <c r="I258" s="13">
        <f t="shared" si="239"/>
        <v>7178.5999999999995</v>
      </c>
      <c r="J258" s="13">
        <f t="shared" si="239"/>
        <v>22920.5</v>
      </c>
      <c r="K258" s="13">
        <f t="shared" si="239"/>
        <v>8589.7999999999993</v>
      </c>
      <c r="L258" s="13">
        <f>L259+L260+L262+L263</f>
        <v>22715.7</v>
      </c>
      <c r="M258" s="13">
        <f t="shared" si="239"/>
        <v>11509.199999999999</v>
      </c>
      <c r="N258" s="13">
        <f t="shared" si="239"/>
        <v>22711.7</v>
      </c>
      <c r="O258" s="13">
        <f t="shared" si="239"/>
        <v>22937.600000000002</v>
      </c>
      <c r="P258" s="13">
        <f t="shared" si="239"/>
        <v>21553.499999999996</v>
      </c>
      <c r="Q258" s="13">
        <f t="shared" si="239"/>
        <v>17236.5</v>
      </c>
      <c r="R258" s="13">
        <f t="shared" si="239"/>
        <v>13532.699999999999</v>
      </c>
      <c r="S258" s="13">
        <f t="shared" si="239"/>
        <v>12164.699999999999</v>
      </c>
      <c r="T258" s="13">
        <f t="shared" si="239"/>
        <v>0</v>
      </c>
      <c r="U258" s="13">
        <f t="shared" si="239"/>
        <v>0</v>
      </c>
      <c r="V258" s="13">
        <f t="shared" si="239"/>
        <v>0</v>
      </c>
      <c r="W258" s="13">
        <f t="shared" si="239"/>
        <v>0</v>
      </c>
      <c r="X258" s="13">
        <f t="shared" si="239"/>
        <v>14895.6</v>
      </c>
      <c r="Y258" s="13">
        <f t="shared" si="239"/>
        <v>12030.9</v>
      </c>
      <c r="Z258" s="13">
        <f t="shared" si="239"/>
        <v>22171.100000000002</v>
      </c>
      <c r="AA258" s="13">
        <f t="shared" si="239"/>
        <v>25191.3</v>
      </c>
      <c r="AB258" s="13">
        <f t="shared" si="239"/>
        <v>19830.2</v>
      </c>
      <c r="AC258" s="13">
        <f t="shared" si="239"/>
        <v>0</v>
      </c>
      <c r="AD258" s="13">
        <f t="shared" si="239"/>
        <v>18000.8</v>
      </c>
      <c r="AE258" s="13">
        <f t="shared" si="239"/>
        <v>0</v>
      </c>
      <c r="AF258" s="112"/>
      <c r="AG258" s="15"/>
      <c r="AH258" s="15"/>
      <c r="AI258" s="15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</row>
    <row r="259" spans="1:62" ht="18.75" x14ac:dyDescent="0.3">
      <c r="A259" s="22" t="s">
        <v>28</v>
      </c>
      <c r="B259" s="23">
        <f>H259+J259+L259+N259+P259+R259+T259+V259+X259+Z259+AB259+AD259</f>
        <v>139653.29999999999</v>
      </c>
      <c r="C259" s="30">
        <f>H259+J259+L259+N259+P259+R259+T259+V259+X259+Z259</f>
        <v>111846.59999999999</v>
      </c>
      <c r="D259" s="23">
        <f>E259</f>
        <v>84659.6</v>
      </c>
      <c r="E259" s="30">
        <f>I259+K259+M259+O259+Q259+S259+U259+W259+Y259+AA259+AC259+AE259</f>
        <v>84659.6</v>
      </c>
      <c r="F259" s="24">
        <f>E259/B259*100</f>
        <v>60.621267095013167</v>
      </c>
      <c r="G259" s="24">
        <f>E259/C259*100</f>
        <v>75.692600400906258</v>
      </c>
      <c r="H259" s="23">
        <v>11764</v>
      </c>
      <c r="I259" s="60">
        <v>3000</v>
      </c>
      <c r="J259" s="23">
        <v>16317.5</v>
      </c>
      <c r="K259" s="23">
        <v>8199.9</v>
      </c>
      <c r="L259" s="23">
        <v>15931.5</v>
      </c>
      <c r="M259" s="23">
        <v>7824.7</v>
      </c>
      <c r="N259" s="23">
        <v>15927.5</v>
      </c>
      <c r="O259" s="23">
        <v>16956.900000000001</v>
      </c>
      <c r="P259" s="23">
        <v>15236.3</v>
      </c>
      <c r="Q259" s="23">
        <v>12395.6</v>
      </c>
      <c r="R259" s="23">
        <v>9553.9</v>
      </c>
      <c r="S259" s="23">
        <v>8968.7999999999993</v>
      </c>
      <c r="T259" s="23"/>
      <c r="U259" s="23"/>
      <c r="V259" s="23"/>
      <c r="W259" s="23"/>
      <c r="X259" s="23">
        <v>10995.9</v>
      </c>
      <c r="Y259" s="23">
        <v>8733.6</v>
      </c>
      <c r="Z259" s="23">
        <v>16120</v>
      </c>
      <c r="AA259" s="23">
        <v>18580.099999999999</v>
      </c>
      <c r="AB259" s="23">
        <v>15442.9</v>
      </c>
      <c r="AC259" s="23"/>
      <c r="AD259" s="23">
        <f>16363.8-4000</f>
        <v>12363.8</v>
      </c>
      <c r="AE259" s="23"/>
      <c r="AF259" s="112"/>
      <c r="AG259" s="15"/>
      <c r="AH259" s="15"/>
      <c r="AI259" s="15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</row>
    <row r="260" spans="1:62" ht="66" customHeight="1" x14ac:dyDescent="0.3">
      <c r="A260" s="22" t="s">
        <v>29</v>
      </c>
      <c r="B260" s="23">
        <f>H260+J260+L260+N260+P260+R260+T260+V260+X260+Z260+AB260+AD260</f>
        <v>39135.4</v>
      </c>
      <c r="C260" s="30">
        <f t="shared" ref="C260:C262" si="240">H260+J260+L260+N260+P260+R260+T260+V260+X260+Z260</f>
        <v>33273</v>
      </c>
      <c r="D260" s="23">
        <f>E260</f>
        <v>23593</v>
      </c>
      <c r="E260" s="30">
        <f>I260+K260+M260+O260+Q260+S260+U260+W260+Y260+AA260+AC260+AE260</f>
        <v>23593</v>
      </c>
      <c r="F260" s="24">
        <f>E260/B260*100</f>
        <v>60.285572652892263</v>
      </c>
      <c r="G260" s="24">
        <f>E260/C260*100</f>
        <v>70.907342289544076</v>
      </c>
      <c r="H260" s="23">
        <v>3210.7</v>
      </c>
      <c r="I260" s="60">
        <v>3210.7</v>
      </c>
      <c r="J260" s="23">
        <v>4764.1000000000004</v>
      </c>
      <c r="K260" s="23">
        <v>333.6</v>
      </c>
      <c r="L260" s="23">
        <v>4945.3</v>
      </c>
      <c r="M260" s="23">
        <v>3009.6</v>
      </c>
      <c r="N260" s="23">
        <v>4945.3</v>
      </c>
      <c r="O260" s="23">
        <v>4362.2</v>
      </c>
      <c r="P260" s="23">
        <v>4865.3999999999996</v>
      </c>
      <c r="Q260" s="23">
        <v>3502.6</v>
      </c>
      <c r="R260" s="23">
        <v>3494.9</v>
      </c>
      <c r="S260" s="23">
        <v>2242.1</v>
      </c>
      <c r="T260" s="23"/>
      <c r="U260" s="23"/>
      <c r="V260" s="23"/>
      <c r="W260" s="23"/>
      <c r="X260" s="23">
        <v>2835.1</v>
      </c>
      <c r="Y260" s="23">
        <v>2264.4</v>
      </c>
      <c r="Z260" s="23">
        <v>4212.2</v>
      </c>
      <c r="AA260" s="23">
        <v>4667.8</v>
      </c>
      <c r="AB260" s="23">
        <v>2741.9</v>
      </c>
      <c r="AC260" s="23"/>
      <c r="AD260" s="23">
        <v>3120.5</v>
      </c>
      <c r="AE260" s="23"/>
      <c r="AF260" s="112"/>
      <c r="AG260" s="15"/>
      <c r="AH260" s="15"/>
      <c r="AI260" s="15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</row>
    <row r="261" spans="1:62" ht="37.5" x14ac:dyDescent="0.3">
      <c r="A261" s="22" t="s">
        <v>44</v>
      </c>
      <c r="B261" s="29">
        <f>H261+J261+L261+N261+P261+R261+T261+V261+X261+Z261+AB261+AD261</f>
        <v>1872.2000000000003</v>
      </c>
      <c r="C261" s="30">
        <f t="shared" si="240"/>
        <v>1369.0000000000002</v>
      </c>
      <c r="D261" s="23">
        <f>E261</f>
        <v>1038.0999999999999</v>
      </c>
      <c r="E261" s="30">
        <f>I261+K261+M261+O261+Q261+S261+U261+W261+Y261+AA261+AC261+AE261</f>
        <v>1038.0999999999999</v>
      </c>
      <c r="F261" s="24">
        <f>E261/B261*100</f>
        <v>55.448135882918479</v>
      </c>
      <c r="G261" s="24">
        <f>E261/C261*100</f>
        <v>75.82907231555879</v>
      </c>
      <c r="H261" s="23">
        <v>117</v>
      </c>
      <c r="I261" s="60">
        <v>117</v>
      </c>
      <c r="J261" s="23">
        <v>222.3</v>
      </c>
      <c r="K261" s="23">
        <v>6.8</v>
      </c>
      <c r="L261" s="23">
        <v>222.3</v>
      </c>
      <c r="M261" s="23">
        <v>81.599999999999994</v>
      </c>
      <c r="N261" s="23">
        <v>222.3</v>
      </c>
      <c r="O261" s="23">
        <v>195.6</v>
      </c>
      <c r="P261" s="23">
        <v>175.5</v>
      </c>
      <c r="Q261" s="23">
        <v>161.9</v>
      </c>
      <c r="R261" s="23">
        <v>58.5</v>
      </c>
      <c r="S261" s="23">
        <v>115.3</v>
      </c>
      <c r="T261" s="23"/>
      <c r="U261" s="23"/>
      <c r="V261" s="23"/>
      <c r="W261" s="23"/>
      <c r="X261" s="23">
        <v>128.69999999999999</v>
      </c>
      <c r="Y261" s="23">
        <v>124.9</v>
      </c>
      <c r="Z261" s="23">
        <v>222.4</v>
      </c>
      <c r="AA261" s="23">
        <v>235</v>
      </c>
      <c r="AB261" s="23">
        <v>198.9</v>
      </c>
      <c r="AC261" s="23"/>
      <c r="AD261" s="23">
        <v>304.3</v>
      </c>
      <c r="AE261" s="23"/>
      <c r="AF261" s="100"/>
      <c r="AG261" s="15"/>
      <c r="AH261" s="15"/>
      <c r="AI261" s="15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</row>
    <row r="262" spans="1:62" ht="18.75" x14ac:dyDescent="0.3">
      <c r="A262" s="22" t="s">
        <v>30</v>
      </c>
      <c r="B262" s="29">
        <f>H262+J262+L262+N262+P262+R262+T262+V262+X262+Z262+AB262+AD262</f>
        <v>15485.7</v>
      </c>
      <c r="C262" s="30">
        <f t="shared" si="240"/>
        <v>11323.800000000001</v>
      </c>
      <c r="D262" s="23">
        <f>E262</f>
        <v>8586</v>
      </c>
      <c r="E262" s="57">
        <f>I262+K262+M262+O262+Q262+S262+U262+W262+Y262+AA262+AC262+AE262</f>
        <v>8586</v>
      </c>
      <c r="F262" s="56">
        <f>E262/B262*100</f>
        <v>55.444700594742244</v>
      </c>
      <c r="G262" s="56">
        <f>E262/C262*100</f>
        <v>75.822603719599428</v>
      </c>
      <c r="H262" s="23">
        <v>967.9</v>
      </c>
      <c r="I262" s="23">
        <v>967.9</v>
      </c>
      <c r="J262" s="23">
        <v>1838.9</v>
      </c>
      <c r="K262" s="23">
        <v>56.3</v>
      </c>
      <c r="L262" s="23">
        <v>1838.9</v>
      </c>
      <c r="M262" s="23">
        <v>674.9</v>
      </c>
      <c r="N262" s="23">
        <v>1838.9</v>
      </c>
      <c r="O262" s="23">
        <v>1618.5</v>
      </c>
      <c r="P262" s="23">
        <v>1451.8</v>
      </c>
      <c r="Q262" s="23">
        <v>1338.3</v>
      </c>
      <c r="R262" s="23">
        <v>483.9</v>
      </c>
      <c r="S262" s="23">
        <v>953.8</v>
      </c>
      <c r="T262" s="23"/>
      <c r="U262" s="23"/>
      <c r="V262" s="23"/>
      <c r="W262" s="23"/>
      <c r="X262" s="23">
        <v>1064.5999999999999</v>
      </c>
      <c r="Y262" s="23">
        <v>1032.9000000000001</v>
      </c>
      <c r="Z262" s="23">
        <v>1838.9</v>
      </c>
      <c r="AA262" s="23">
        <v>1943.4</v>
      </c>
      <c r="AB262" s="23">
        <v>1645.4</v>
      </c>
      <c r="AC262" s="23"/>
      <c r="AD262" s="23">
        <v>2516.5</v>
      </c>
      <c r="AE262" s="23"/>
      <c r="AF262" s="36"/>
      <c r="AG262" s="33"/>
      <c r="AH262" s="33"/>
      <c r="AI262" s="33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</row>
    <row r="263" spans="1:62" ht="18.75" x14ac:dyDescent="0.3">
      <c r="A263" s="22" t="s">
        <v>31</v>
      </c>
      <c r="B263" s="46"/>
      <c r="C263" s="46"/>
      <c r="D263" s="46"/>
      <c r="E263" s="46"/>
      <c r="F263" s="46"/>
      <c r="G263" s="4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36"/>
      <c r="AG263" s="15"/>
      <c r="AH263" s="15"/>
      <c r="AI263" s="15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</row>
    <row r="264" spans="1:62" ht="20.25" x14ac:dyDescent="0.25">
      <c r="A264" s="108" t="s">
        <v>87</v>
      </c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3"/>
      <c r="AF264" s="36"/>
      <c r="AG264" s="15"/>
      <c r="AH264" s="15"/>
      <c r="AI264" s="15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</row>
    <row r="265" spans="1:62" ht="18.75" x14ac:dyDescent="0.3">
      <c r="A265" s="19" t="s">
        <v>27</v>
      </c>
      <c r="B265" s="13">
        <f>B266+B267+B270+B269</f>
        <v>87193</v>
      </c>
      <c r="C265" s="13">
        <f>C266+C267+C270+C269</f>
        <v>74931</v>
      </c>
      <c r="D265" s="13">
        <f t="shared" ref="D265:E265" si="241">D266+D267+D270+D269</f>
        <v>82867.8</v>
      </c>
      <c r="E265" s="13">
        <f t="shared" si="241"/>
        <v>72867.8</v>
      </c>
      <c r="F265" s="21">
        <f>E265/B265*100</f>
        <v>83.570699482756652</v>
      </c>
      <c r="G265" s="21">
        <f>E265/C265*100</f>
        <v>97.246533477465931</v>
      </c>
      <c r="H265" s="13">
        <f t="shared" ref="H265:AE265" si="242">H266+H267+H270+H269</f>
        <v>0</v>
      </c>
      <c r="I265" s="13">
        <f t="shared" si="242"/>
        <v>0</v>
      </c>
      <c r="J265" s="13">
        <f t="shared" si="242"/>
        <v>0</v>
      </c>
      <c r="K265" s="13">
        <f t="shared" si="242"/>
        <v>0</v>
      </c>
      <c r="L265" s="13">
        <f>L266+L267+L270+L269</f>
        <v>0</v>
      </c>
      <c r="M265" s="13">
        <f t="shared" si="242"/>
        <v>0</v>
      </c>
      <c r="N265" s="13">
        <f t="shared" si="242"/>
        <v>25000</v>
      </c>
      <c r="O265" s="13">
        <f t="shared" si="242"/>
        <v>0</v>
      </c>
      <c r="P265" s="13">
        <f t="shared" si="242"/>
        <v>6587.2</v>
      </c>
      <c r="Q265" s="13">
        <f t="shared" si="242"/>
        <v>25000</v>
      </c>
      <c r="R265" s="13">
        <f t="shared" si="242"/>
        <v>7500</v>
      </c>
      <c r="S265" s="13">
        <f t="shared" si="242"/>
        <v>7500</v>
      </c>
      <c r="T265" s="13">
        <f t="shared" si="242"/>
        <v>9142.6</v>
      </c>
      <c r="U265" s="13">
        <f t="shared" si="242"/>
        <v>5534.2000000000007</v>
      </c>
      <c r="V265" s="13">
        <f t="shared" si="242"/>
        <v>7474.9</v>
      </c>
      <c r="W265" s="13">
        <f t="shared" si="242"/>
        <v>11867.5</v>
      </c>
      <c r="X265" s="13">
        <f t="shared" si="242"/>
        <v>21488.3</v>
      </c>
      <c r="Y265" s="13">
        <f t="shared" si="242"/>
        <v>22966.1</v>
      </c>
      <c r="Z265" s="13">
        <f t="shared" si="242"/>
        <v>0</v>
      </c>
      <c r="AA265" s="13">
        <f t="shared" si="242"/>
        <v>0</v>
      </c>
      <c r="AB265" s="13">
        <f t="shared" si="242"/>
        <v>10000</v>
      </c>
      <c r="AC265" s="13">
        <f t="shared" si="242"/>
        <v>0</v>
      </c>
      <c r="AD265" s="13">
        <f t="shared" si="242"/>
        <v>0</v>
      </c>
      <c r="AE265" s="13">
        <f t="shared" si="242"/>
        <v>0</v>
      </c>
      <c r="AF265" s="61"/>
      <c r="AG265" s="15"/>
      <c r="AH265" s="15"/>
      <c r="AI265" s="15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</row>
    <row r="266" spans="1:62" ht="18.75" x14ac:dyDescent="0.3">
      <c r="A266" s="22" t="s">
        <v>28</v>
      </c>
      <c r="B266" s="23">
        <f t="shared" ref="B266:E270" si="243">B273+B294</f>
        <v>4408</v>
      </c>
      <c r="C266" s="23">
        <f t="shared" si="243"/>
        <v>2930.2</v>
      </c>
      <c r="D266" s="23">
        <f t="shared" si="243"/>
        <v>1477.8</v>
      </c>
      <c r="E266" s="23">
        <f t="shared" si="243"/>
        <v>1477.8</v>
      </c>
      <c r="F266" s="24">
        <f>E266/B266*100</f>
        <v>33.525408348457347</v>
      </c>
      <c r="G266" s="24">
        <f>E266/C266*100</f>
        <v>50.433417514162862</v>
      </c>
      <c r="H266" s="23">
        <f t="shared" ref="H266:AE270" si="244">H273+H294</f>
        <v>0</v>
      </c>
      <c r="I266" s="23">
        <f t="shared" si="244"/>
        <v>0</v>
      </c>
      <c r="J266" s="23">
        <f t="shared" si="244"/>
        <v>0</v>
      </c>
      <c r="K266" s="23">
        <f t="shared" si="244"/>
        <v>0</v>
      </c>
      <c r="L266" s="23">
        <f t="shared" si="244"/>
        <v>0</v>
      </c>
      <c r="M266" s="23">
        <f t="shared" si="244"/>
        <v>0</v>
      </c>
      <c r="N266" s="23">
        <f t="shared" si="244"/>
        <v>0</v>
      </c>
      <c r="O266" s="23">
        <f t="shared" si="244"/>
        <v>0</v>
      </c>
      <c r="P266" s="23">
        <f t="shared" si="244"/>
        <v>4408</v>
      </c>
      <c r="Q266" s="23">
        <f t="shared" si="244"/>
        <v>0</v>
      </c>
      <c r="R266" s="23">
        <f t="shared" si="244"/>
        <v>0</v>
      </c>
      <c r="S266" s="23">
        <f t="shared" si="244"/>
        <v>0</v>
      </c>
      <c r="T266" s="23">
        <f t="shared" si="244"/>
        <v>0</v>
      </c>
      <c r="U266" s="23">
        <f t="shared" si="244"/>
        <v>0</v>
      </c>
      <c r="V266" s="23">
        <f t="shared" si="244"/>
        <v>0</v>
      </c>
      <c r="W266" s="23">
        <f t="shared" si="244"/>
        <v>0</v>
      </c>
      <c r="X266" s="23">
        <f t="shared" si="244"/>
        <v>0</v>
      </c>
      <c r="Y266" s="23">
        <f t="shared" si="244"/>
        <v>1477.8</v>
      </c>
      <c r="Z266" s="23">
        <f t="shared" si="244"/>
        <v>0</v>
      </c>
      <c r="AA266" s="23">
        <f t="shared" si="244"/>
        <v>0</v>
      </c>
      <c r="AB266" s="23">
        <f t="shared" si="244"/>
        <v>0</v>
      </c>
      <c r="AC266" s="23">
        <f t="shared" si="244"/>
        <v>0</v>
      </c>
      <c r="AD266" s="23">
        <f t="shared" si="244"/>
        <v>0</v>
      </c>
      <c r="AE266" s="23">
        <f t="shared" si="244"/>
        <v>0</v>
      </c>
      <c r="AF266" s="62"/>
      <c r="AG266" s="15"/>
      <c r="AH266" s="15"/>
      <c r="AI266" s="15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</row>
    <row r="267" spans="1:62" ht="18.75" x14ac:dyDescent="0.3">
      <c r="A267" s="22" t="s">
        <v>29</v>
      </c>
      <c r="B267" s="23">
        <f t="shared" si="243"/>
        <v>7785</v>
      </c>
      <c r="C267" s="23">
        <f t="shared" si="243"/>
        <v>7000.8</v>
      </c>
      <c r="D267" s="23">
        <f t="shared" si="243"/>
        <v>6390</v>
      </c>
      <c r="E267" s="23">
        <f t="shared" si="243"/>
        <v>6390</v>
      </c>
      <c r="F267" s="24">
        <f>E267/B267*100</f>
        <v>82.080924855491332</v>
      </c>
      <c r="G267" s="24">
        <f>E267/C267*100</f>
        <v>91.27528282482001</v>
      </c>
      <c r="H267" s="23">
        <f t="shared" si="244"/>
        <v>0</v>
      </c>
      <c r="I267" s="23">
        <f t="shared" si="244"/>
        <v>0</v>
      </c>
      <c r="J267" s="23">
        <f t="shared" si="244"/>
        <v>0</v>
      </c>
      <c r="K267" s="23">
        <f t="shared" si="244"/>
        <v>0</v>
      </c>
      <c r="L267" s="23">
        <f t="shared" si="244"/>
        <v>0</v>
      </c>
      <c r="M267" s="23">
        <f t="shared" si="244"/>
        <v>0</v>
      </c>
      <c r="N267" s="23">
        <f t="shared" si="244"/>
        <v>0</v>
      </c>
      <c r="O267" s="23">
        <f t="shared" si="244"/>
        <v>0</v>
      </c>
      <c r="P267" s="23">
        <f t="shared" si="244"/>
        <v>2179.1999999999998</v>
      </c>
      <c r="Q267" s="23">
        <f t="shared" si="244"/>
        <v>0</v>
      </c>
      <c r="R267" s="23">
        <f t="shared" si="244"/>
        <v>0</v>
      </c>
      <c r="S267" s="23">
        <f t="shared" si="244"/>
        <v>0</v>
      </c>
      <c r="T267" s="23">
        <f t="shared" si="244"/>
        <v>5605.8</v>
      </c>
      <c r="U267" s="23">
        <f t="shared" si="244"/>
        <v>1997.4</v>
      </c>
      <c r="V267" s="23">
        <f t="shared" si="244"/>
        <v>0</v>
      </c>
      <c r="W267" s="23">
        <f t="shared" si="244"/>
        <v>4392.6000000000004</v>
      </c>
      <c r="X267" s="23">
        <f t="shared" si="244"/>
        <v>0</v>
      </c>
      <c r="Y267" s="23">
        <f t="shared" si="244"/>
        <v>0</v>
      </c>
      <c r="Z267" s="23">
        <f t="shared" si="244"/>
        <v>0</v>
      </c>
      <c r="AA267" s="23">
        <f t="shared" si="244"/>
        <v>0</v>
      </c>
      <c r="AB267" s="23">
        <f t="shared" si="244"/>
        <v>0</v>
      </c>
      <c r="AC267" s="23">
        <f t="shared" si="244"/>
        <v>0</v>
      </c>
      <c r="AD267" s="23">
        <f t="shared" si="244"/>
        <v>0</v>
      </c>
      <c r="AE267" s="23">
        <f t="shared" si="244"/>
        <v>0</v>
      </c>
      <c r="AF267" s="62"/>
      <c r="AG267" s="15"/>
      <c r="AH267" s="15"/>
      <c r="AI267" s="15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</row>
    <row r="268" spans="1:62" ht="37.5" x14ac:dyDescent="0.3">
      <c r="A268" s="22" t="s">
        <v>44</v>
      </c>
      <c r="B268" s="23">
        <f t="shared" si="243"/>
        <v>0</v>
      </c>
      <c r="C268" s="23">
        <f t="shared" si="243"/>
        <v>0</v>
      </c>
      <c r="D268" s="23">
        <f t="shared" si="243"/>
        <v>0</v>
      </c>
      <c r="E268" s="23">
        <f t="shared" si="243"/>
        <v>0</v>
      </c>
      <c r="F268" s="24" t="e">
        <f>E268/B268*100</f>
        <v>#DIV/0!</v>
      </c>
      <c r="G268" s="24" t="e">
        <f>E268/C268*100</f>
        <v>#DIV/0!</v>
      </c>
      <c r="H268" s="23">
        <f t="shared" si="244"/>
        <v>0</v>
      </c>
      <c r="I268" s="23">
        <f t="shared" si="244"/>
        <v>0</v>
      </c>
      <c r="J268" s="23">
        <f t="shared" si="244"/>
        <v>0</v>
      </c>
      <c r="K268" s="23">
        <f t="shared" si="244"/>
        <v>0</v>
      </c>
      <c r="L268" s="23">
        <f t="shared" si="244"/>
        <v>0</v>
      </c>
      <c r="M268" s="23">
        <f t="shared" si="244"/>
        <v>0</v>
      </c>
      <c r="N268" s="23">
        <f t="shared" si="244"/>
        <v>0</v>
      </c>
      <c r="O268" s="23">
        <f t="shared" si="244"/>
        <v>0</v>
      </c>
      <c r="P268" s="23">
        <f t="shared" si="244"/>
        <v>0</v>
      </c>
      <c r="Q268" s="23">
        <f t="shared" si="244"/>
        <v>0</v>
      </c>
      <c r="R268" s="23">
        <f t="shared" si="244"/>
        <v>0</v>
      </c>
      <c r="S268" s="23">
        <f t="shared" si="244"/>
        <v>0</v>
      </c>
      <c r="T268" s="23">
        <f t="shared" si="244"/>
        <v>0</v>
      </c>
      <c r="U268" s="23">
        <f t="shared" si="244"/>
        <v>0</v>
      </c>
      <c r="V268" s="23">
        <f t="shared" si="244"/>
        <v>0</v>
      </c>
      <c r="W268" s="23">
        <f t="shared" si="244"/>
        <v>0</v>
      </c>
      <c r="X268" s="23">
        <f t="shared" si="244"/>
        <v>0</v>
      </c>
      <c r="Y268" s="23">
        <f t="shared" si="244"/>
        <v>0</v>
      </c>
      <c r="Z268" s="23">
        <f t="shared" si="244"/>
        <v>0</v>
      </c>
      <c r="AA268" s="23">
        <f t="shared" si="244"/>
        <v>0</v>
      </c>
      <c r="AB268" s="23">
        <f t="shared" si="244"/>
        <v>0</v>
      </c>
      <c r="AC268" s="23">
        <f t="shared" si="244"/>
        <v>0</v>
      </c>
      <c r="AD268" s="23">
        <f t="shared" si="244"/>
        <v>0</v>
      </c>
      <c r="AE268" s="23">
        <f t="shared" si="244"/>
        <v>0</v>
      </c>
      <c r="AF268" s="62"/>
      <c r="AG268" s="15"/>
      <c r="AH268" s="15"/>
      <c r="AI268" s="15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</row>
    <row r="269" spans="1:62" ht="18.75" x14ac:dyDescent="0.3">
      <c r="A269" s="22" t="s">
        <v>30</v>
      </c>
      <c r="B269" s="23">
        <f t="shared" si="243"/>
        <v>0</v>
      </c>
      <c r="C269" s="23">
        <f t="shared" si="243"/>
        <v>0</v>
      </c>
      <c r="D269" s="23">
        <f t="shared" si="243"/>
        <v>0</v>
      </c>
      <c r="E269" s="23">
        <f t="shared" si="243"/>
        <v>0</v>
      </c>
      <c r="F269" s="24" t="e">
        <f>E269/B269*100</f>
        <v>#DIV/0!</v>
      </c>
      <c r="G269" s="24" t="e">
        <f>E269/C269*100</f>
        <v>#DIV/0!</v>
      </c>
      <c r="H269" s="23">
        <f t="shared" si="244"/>
        <v>0</v>
      </c>
      <c r="I269" s="23">
        <f t="shared" si="244"/>
        <v>0</v>
      </c>
      <c r="J269" s="23">
        <f t="shared" si="244"/>
        <v>0</v>
      </c>
      <c r="K269" s="23">
        <f t="shared" si="244"/>
        <v>0</v>
      </c>
      <c r="L269" s="23">
        <f t="shared" si="244"/>
        <v>0</v>
      </c>
      <c r="M269" s="23">
        <f t="shared" si="244"/>
        <v>0</v>
      </c>
      <c r="N269" s="23">
        <f t="shared" si="244"/>
        <v>0</v>
      </c>
      <c r="O269" s="23">
        <f t="shared" si="244"/>
        <v>0</v>
      </c>
      <c r="P269" s="23">
        <f t="shared" si="244"/>
        <v>0</v>
      </c>
      <c r="Q269" s="23">
        <f t="shared" si="244"/>
        <v>0</v>
      </c>
      <c r="R269" s="23">
        <f t="shared" si="244"/>
        <v>0</v>
      </c>
      <c r="S269" s="23">
        <f t="shared" si="244"/>
        <v>0</v>
      </c>
      <c r="T269" s="23">
        <f t="shared" si="244"/>
        <v>0</v>
      </c>
      <c r="U269" s="23">
        <f t="shared" si="244"/>
        <v>0</v>
      </c>
      <c r="V269" s="23">
        <f t="shared" si="244"/>
        <v>0</v>
      </c>
      <c r="W269" s="23">
        <f t="shared" si="244"/>
        <v>0</v>
      </c>
      <c r="X269" s="23">
        <f t="shared" si="244"/>
        <v>0</v>
      </c>
      <c r="Y269" s="23">
        <f t="shared" si="244"/>
        <v>0</v>
      </c>
      <c r="Z269" s="23">
        <f t="shared" si="244"/>
        <v>0</v>
      </c>
      <c r="AA269" s="23">
        <f t="shared" si="244"/>
        <v>0</v>
      </c>
      <c r="AB269" s="23">
        <f t="shared" si="244"/>
        <v>0</v>
      </c>
      <c r="AC269" s="23">
        <f t="shared" si="244"/>
        <v>0</v>
      </c>
      <c r="AD269" s="23">
        <f t="shared" si="244"/>
        <v>0</v>
      </c>
      <c r="AE269" s="23">
        <f t="shared" si="244"/>
        <v>0</v>
      </c>
      <c r="AF269" s="62"/>
      <c r="AG269" s="15"/>
      <c r="AH269" s="15"/>
      <c r="AI269" s="15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</row>
    <row r="270" spans="1:62" ht="18.75" x14ac:dyDescent="0.3">
      <c r="A270" s="22" t="s">
        <v>31</v>
      </c>
      <c r="B270" s="23">
        <f t="shared" si="243"/>
        <v>75000</v>
      </c>
      <c r="C270" s="23">
        <f t="shared" si="243"/>
        <v>65000</v>
      </c>
      <c r="D270" s="23">
        <f t="shared" si="243"/>
        <v>75000</v>
      </c>
      <c r="E270" s="23">
        <f t="shared" si="243"/>
        <v>65000</v>
      </c>
      <c r="F270" s="24">
        <f t="shared" ref="F270" si="245">E270/B270*100</f>
        <v>86.666666666666671</v>
      </c>
      <c r="G270" s="24">
        <f t="shared" ref="G270" si="246">E270/C270*100</f>
        <v>100</v>
      </c>
      <c r="H270" s="23">
        <f t="shared" si="244"/>
        <v>0</v>
      </c>
      <c r="I270" s="23">
        <f t="shared" si="244"/>
        <v>0</v>
      </c>
      <c r="J270" s="23">
        <f t="shared" si="244"/>
        <v>0</v>
      </c>
      <c r="K270" s="23">
        <f t="shared" si="244"/>
        <v>0</v>
      </c>
      <c r="L270" s="23">
        <f t="shared" si="244"/>
        <v>0</v>
      </c>
      <c r="M270" s="23">
        <f t="shared" si="244"/>
        <v>0</v>
      </c>
      <c r="N270" s="23">
        <f t="shared" si="244"/>
        <v>25000</v>
      </c>
      <c r="O270" s="23">
        <f t="shared" si="244"/>
        <v>0</v>
      </c>
      <c r="P270" s="23">
        <f t="shared" si="244"/>
        <v>0</v>
      </c>
      <c r="Q270" s="23">
        <f t="shared" si="244"/>
        <v>25000</v>
      </c>
      <c r="R270" s="23">
        <f t="shared" si="244"/>
        <v>7500</v>
      </c>
      <c r="S270" s="23">
        <f t="shared" si="244"/>
        <v>7500</v>
      </c>
      <c r="T270" s="23">
        <f t="shared" si="244"/>
        <v>3536.8</v>
      </c>
      <c r="U270" s="23">
        <f t="shared" si="244"/>
        <v>3536.8</v>
      </c>
      <c r="V270" s="23">
        <f t="shared" si="244"/>
        <v>7474.9</v>
      </c>
      <c r="W270" s="23">
        <f t="shared" si="244"/>
        <v>7474.9</v>
      </c>
      <c r="X270" s="23">
        <f t="shared" si="244"/>
        <v>21488.3</v>
      </c>
      <c r="Y270" s="23">
        <f t="shared" si="244"/>
        <v>21488.3</v>
      </c>
      <c r="Z270" s="23">
        <f t="shared" si="244"/>
        <v>0</v>
      </c>
      <c r="AA270" s="23">
        <f t="shared" si="244"/>
        <v>0</v>
      </c>
      <c r="AB270" s="23">
        <f t="shared" si="244"/>
        <v>10000</v>
      </c>
      <c r="AC270" s="23">
        <f t="shared" si="244"/>
        <v>0</v>
      </c>
      <c r="AD270" s="23">
        <f t="shared" si="244"/>
        <v>0</v>
      </c>
      <c r="AE270" s="23">
        <f t="shared" si="244"/>
        <v>0</v>
      </c>
      <c r="AF270" s="62"/>
      <c r="AG270" s="15"/>
      <c r="AH270" s="15"/>
      <c r="AI270" s="15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</row>
    <row r="271" spans="1:62" ht="18.75" x14ac:dyDescent="0.25">
      <c r="A271" s="105" t="s">
        <v>88</v>
      </c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7"/>
      <c r="AF271" s="105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7"/>
    </row>
    <row r="272" spans="1:62" ht="18.75" x14ac:dyDescent="0.25">
      <c r="A272" s="63" t="s">
        <v>27</v>
      </c>
      <c r="B272" s="13">
        <f>B273+B274+B276+B277</f>
        <v>77262</v>
      </c>
      <c r="C272" s="13">
        <f t="shared" ref="C272:E272" si="247">C273+C274+C276+C277</f>
        <v>65000</v>
      </c>
      <c r="D272" s="13">
        <f t="shared" si="247"/>
        <v>77262</v>
      </c>
      <c r="E272" s="13">
        <f t="shared" si="247"/>
        <v>67262</v>
      </c>
      <c r="F272" s="21">
        <f t="shared" ref="F272:F277" si="248">E272/B272*100</f>
        <v>87.057026740182749</v>
      </c>
      <c r="G272" s="21">
        <f t="shared" ref="G272:G277" si="249">E272/C272*100</f>
        <v>103.47999999999999</v>
      </c>
      <c r="H272" s="13">
        <f t="shared" ref="H272:AE272" si="250">H273+H274+H276+H277</f>
        <v>0</v>
      </c>
      <c r="I272" s="13">
        <f t="shared" si="250"/>
        <v>0</v>
      </c>
      <c r="J272" s="13">
        <f t="shared" si="250"/>
        <v>0</v>
      </c>
      <c r="K272" s="13">
        <f t="shared" si="250"/>
        <v>0</v>
      </c>
      <c r="L272" s="13">
        <f t="shared" si="250"/>
        <v>0</v>
      </c>
      <c r="M272" s="13">
        <f t="shared" si="250"/>
        <v>0</v>
      </c>
      <c r="N272" s="13">
        <f t="shared" si="250"/>
        <v>25000</v>
      </c>
      <c r="O272" s="13">
        <f t="shared" si="250"/>
        <v>0</v>
      </c>
      <c r="P272" s="13">
        <f t="shared" si="250"/>
        <v>2262</v>
      </c>
      <c r="Q272" s="13">
        <f t="shared" si="250"/>
        <v>25000</v>
      </c>
      <c r="R272" s="13">
        <f t="shared" si="250"/>
        <v>7500</v>
      </c>
      <c r="S272" s="13">
        <f t="shared" si="250"/>
        <v>7500</v>
      </c>
      <c r="T272" s="13">
        <f t="shared" si="250"/>
        <v>3536.8</v>
      </c>
      <c r="U272" s="13">
        <f t="shared" si="250"/>
        <v>4036.7000000000003</v>
      </c>
      <c r="V272" s="13">
        <f t="shared" si="250"/>
        <v>7474.9</v>
      </c>
      <c r="W272" s="13">
        <f t="shared" si="250"/>
        <v>7759.2</v>
      </c>
      <c r="X272" s="13">
        <f t="shared" si="250"/>
        <v>21488.3</v>
      </c>
      <c r="Y272" s="13">
        <f t="shared" si="250"/>
        <v>22966.1</v>
      </c>
      <c r="Z272" s="13">
        <f t="shared" si="250"/>
        <v>0</v>
      </c>
      <c r="AA272" s="13">
        <f t="shared" si="250"/>
        <v>0</v>
      </c>
      <c r="AB272" s="13">
        <f t="shared" si="250"/>
        <v>10000</v>
      </c>
      <c r="AC272" s="13">
        <f t="shared" si="250"/>
        <v>0</v>
      </c>
      <c r="AD272" s="13">
        <f t="shared" si="250"/>
        <v>0</v>
      </c>
      <c r="AE272" s="13">
        <f t="shared" si="250"/>
        <v>0</v>
      </c>
      <c r="AF272" s="111" t="s">
        <v>132</v>
      </c>
      <c r="AG272" s="133"/>
      <c r="AH272" s="15"/>
      <c r="AI272" s="15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</row>
    <row r="273" spans="1:62" ht="18.75" x14ac:dyDescent="0.3">
      <c r="A273" s="22" t="s">
        <v>28</v>
      </c>
      <c r="B273" s="23">
        <f>H273+J273+L273+N273+P273+R273+T273+V273+X273+Z273+AB273+AD273</f>
        <v>1477.8</v>
      </c>
      <c r="C273" s="30">
        <f>H273</f>
        <v>0</v>
      </c>
      <c r="D273" s="23">
        <f>E273</f>
        <v>1477.8</v>
      </c>
      <c r="E273" s="30">
        <f>M273+O273+Q273+S273+U273+W273+Y273+AA273+AC273+AE273</f>
        <v>1477.8</v>
      </c>
      <c r="F273" s="24">
        <f t="shared" si="248"/>
        <v>100</v>
      </c>
      <c r="G273" s="24" t="e">
        <f t="shared" si="249"/>
        <v>#DIV/0!</v>
      </c>
      <c r="H273" s="13">
        <f>H280+H287</f>
        <v>0</v>
      </c>
      <c r="I273" s="13">
        <f t="shared" ref="I273:AE277" si="251">I280+I287</f>
        <v>0</v>
      </c>
      <c r="J273" s="13">
        <f t="shared" si="251"/>
        <v>0</v>
      </c>
      <c r="K273" s="13">
        <f t="shared" si="251"/>
        <v>0</v>
      </c>
      <c r="L273" s="13">
        <f t="shared" si="251"/>
        <v>0</v>
      </c>
      <c r="M273" s="13">
        <f t="shared" si="251"/>
        <v>0</v>
      </c>
      <c r="N273" s="13">
        <f t="shared" si="251"/>
        <v>0</v>
      </c>
      <c r="O273" s="13">
        <f t="shared" si="251"/>
        <v>0</v>
      </c>
      <c r="P273" s="13">
        <f t="shared" si="251"/>
        <v>1477.8</v>
      </c>
      <c r="Q273" s="13">
        <f t="shared" si="251"/>
        <v>0</v>
      </c>
      <c r="R273" s="13">
        <f t="shared" si="251"/>
        <v>0</v>
      </c>
      <c r="S273" s="13">
        <f t="shared" si="251"/>
        <v>0</v>
      </c>
      <c r="T273" s="13">
        <f t="shared" si="251"/>
        <v>0</v>
      </c>
      <c r="U273" s="13">
        <f t="shared" si="251"/>
        <v>0</v>
      </c>
      <c r="V273" s="13">
        <f t="shared" si="251"/>
        <v>0</v>
      </c>
      <c r="W273" s="13">
        <f t="shared" si="251"/>
        <v>0</v>
      </c>
      <c r="X273" s="13">
        <f t="shared" si="251"/>
        <v>0</v>
      </c>
      <c r="Y273" s="13">
        <f t="shared" si="251"/>
        <v>1477.8</v>
      </c>
      <c r="Z273" s="13">
        <f t="shared" si="251"/>
        <v>0</v>
      </c>
      <c r="AA273" s="13">
        <f t="shared" si="251"/>
        <v>0</v>
      </c>
      <c r="AB273" s="13">
        <f t="shared" si="251"/>
        <v>0</v>
      </c>
      <c r="AC273" s="13">
        <f t="shared" si="251"/>
        <v>0</v>
      </c>
      <c r="AD273" s="13">
        <f t="shared" si="251"/>
        <v>0</v>
      </c>
      <c r="AE273" s="13">
        <f t="shared" si="251"/>
        <v>0</v>
      </c>
      <c r="AF273" s="112"/>
      <c r="AG273" s="133"/>
      <c r="AH273" s="15"/>
      <c r="AI273" s="15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</row>
    <row r="274" spans="1:62" ht="18.75" x14ac:dyDescent="0.25">
      <c r="A274" s="64" t="s">
        <v>85</v>
      </c>
      <c r="B274" s="23">
        <f>H274+J274+L274+N274+P274+R274+T274+V274+X274+Z274+AB274+AD274</f>
        <v>784.2</v>
      </c>
      <c r="C274" s="30">
        <f t="shared" ref="C274:C276" si="252">H274</f>
        <v>0</v>
      </c>
      <c r="D274" s="23">
        <f>E274</f>
        <v>784.2</v>
      </c>
      <c r="E274" s="30">
        <f>I274+K274+M274+O274+Q274+S274+U274+W274+Y274+AA274+AC274+AE274</f>
        <v>784.2</v>
      </c>
      <c r="F274" s="24">
        <f t="shared" si="248"/>
        <v>100</v>
      </c>
      <c r="G274" s="24" t="e">
        <f t="shared" si="249"/>
        <v>#DIV/0!</v>
      </c>
      <c r="H274" s="13">
        <f t="shared" ref="H274:W277" si="253">H281+H288</f>
        <v>0</v>
      </c>
      <c r="I274" s="13">
        <f t="shared" si="253"/>
        <v>0</v>
      </c>
      <c r="J274" s="13">
        <f t="shared" si="253"/>
        <v>0</v>
      </c>
      <c r="K274" s="13">
        <f t="shared" si="253"/>
        <v>0</v>
      </c>
      <c r="L274" s="13">
        <f t="shared" si="253"/>
        <v>0</v>
      </c>
      <c r="M274" s="13">
        <f t="shared" si="253"/>
        <v>0</v>
      </c>
      <c r="N274" s="13">
        <f t="shared" si="253"/>
        <v>0</v>
      </c>
      <c r="O274" s="13">
        <f t="shared" si="253"/>
        <v>0</v>
      </c>
      <c r="P274" s="13">
        <f t="shared" si="253"/>
        <v>784.2</v>
      </c>
      <c r="Q274" s="13">
        <f t="shared" si="253"/>
        <v>0</v>
      </c>
      <c r="R274" s="13">
        <f t="shared" si="253"/>
        <v>0</v>
      </c>
      <c r="S274" s="13">
        <f t="shared" si="253"/>
        <v>0</v>
      </c>
      <c r="T274" s="13">
        <f t="shared" si="253"/>
        <v>0</v>
      </c>
      <c r="U274" s="13">
        <f t="shared" si="253"/>
        <v>499.9</v>
      </c>
      <c r="V274" s="13">
        <f t="shared" si="253"/>
        <v>0</v>
      </c>
      <c r="W274" s="13">
        <f t="shared" si="253"/>
        <v>284.3</v>
      </c>
      <c r="X274" s="13">
        <f t="shared" si="251"/>
        <v>0</v>
      </c>
      <c r="Y274" s="13">
        <f t="shared" si="251"/>
        <v>0</v>
      </c>
      <c r="Z274" s="13">
        <f t="shared" si="251"/>
        <v>0</v>
      </c>
      <c r="AA274" s="13">
        <f t="shared" si="251"/>
        <v>0</v>
      </c>
      <c r="AB274" s="13">
        <f t="shared" si="251"/>
        <v>0</v>
      </c>
      <c r="AC274" s="13">
        <f t="shared" si="251"/>
        <v>0</v>
      </c>
      <c r="AD274" s="13">
        <f t="shared" si="251"/>
        <v>0</v>
      </c>
      <c r="AE274" s="13">
        <f t="shared" si="251"/>
        <v>0</v>
      </c>
      <c r="AF274" s="112"/>
      <c r="AG274" s="133"/>
      <c r="AH274" s="15"/>
      <c r="AI274" s="15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</row>
    <row r="275" spans="1:62" ht="37.5" x14ac:dyDescent="0.25">
      <c r="A275" s="64" t="s">
        <v>44</v>
      </c>
      <c r="B275" s="23">
        <f>H275+J275+L275+N275+P275+R275+T275+V275+X275+Z275+AB275+AD275</f>
        <v>0</v>
      </c>
      <c r="C275" s="30">
        <f t="shared" si="252"/>
        <v>0</v>
      </c>
      <c r="D275" s="23">
        <f>E275</f>
        <v>0</v>
      </c>
      <c r="E275" s="30">
        <f>I275+K275+M275+O275+Q275+S275+U275+W275+Y275+AA275+AC275+AE275</f>
        <v>0</v>
      </c>
      <c r="F275" s="24" t="e">
        <f t="shared" si="248"/>
        <v>#DIV/0!</v>
      </c>
      <c r="G275" s="24" t="e">
        <f t="shared" si="249"/>
        <v>#DIV/0!</v>
      </c>
      <c r="H275" s="13">
        <f t="shared" si="253"/>
        <v>0</v>
      </c>
      <c r="I275" s="13">
        <f t="shared" si="251"/>
        <v>0</v>
      </c>
      <c r="J275" s="13">
        <f t="shared" si="251"/>
        <v>0</v>
      </c>
      <c r="K275" s="13">
        <f t="shared" si="251"/>
        <v>0</v>
      </c>
      <c r="L275" s="13">
        <f t="shared" si="251"/>
        <v>0</v>
      </c>
      <c r="M275" s="13">
        <f t="shared" si="251"/>
        <v>0</v>
      </c>
      <c r="N275" s="13">
        <f t="shared" si="251"/>
        <v>0</v>
      </c>
      <c r="O275" s="13">
        <f t="shared" si="251"/>
        <v>0</v>
      </c>
      <c r="P275" s="13">
        <f t="shared" si="251"/>
        <v>0</v>
      </c>
      <c r="Q275" s="13">
        <f t="shared" si="251"/>
        <v>0</v>
      </c>
      <c r="R275" s="13">
        <f t="shared" si="251"/>
        <v>0</v>
      </c>
      <c r="S275" s="13">
        <f t="shared" si="251"/>
        <v>0</v>
      </c>
      <c r="T275" s="13">
        <f t="shared" si="251"/>
        <v>0</v>
      </c>
      <c r="U275" s="13">
        <f t="shared" si="251"/>
        <v>0</v>
      </c>
      <c r="V275" s="13">
        <f t="shared" si="251"/>
        <v>0</v>
      </c>
      <c r="W275" s="13">
        <f t="shared" si="251"/>
        <v>0</v>
      </c>
      <c r="X275" s="13">
        <f t="shared" si="251"/>
        <v>0</v>
      </c>
      <c r="Y275" s="13">
        <f t="shared" si="251"/>
        <v>0</v>
      </c>
      <c r="Z275" s="13">
        <f t="shared" si="251"/>
        <v>0</v>
      </c>
      <c r="AA275" s="13">
        <f t="shared" si="251"/>
        <v>0</v>
      </c>
      <c r="AB275" s="13">
        <f t="shared" si="251"/>
        <v>0</v>
      </c>
      <c r="AC275" s="13">
        <f t="shared" si="251"/>
        <v>0</v>
      </c>
      <c r="AD275" s="13">
        <f t="shared" si="251"/>
        <v>0</v>
      </c>
      <c r="AE275" s="13">
        <f t="shared" si="251"/>
        <v>0</v>
      </c>
      <c r="AF275" s="112"/>
      <c r="AG275" s="133"/>
      <c r="AH275" s="15"/>
      <c r="AI275" s="15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</row>
    <row r="276" spans="1:62" ht="18.75" x14ac:dyDescent="0.25">
      <c r="A276" s="64" t="s">
        <v>30</v>
      </c>
      <c r="B276" s="23">
        <f>H276+J276+L276+N276+P276+R276+T276+V276+X276+Z276+AB276+AD276</f>
        <v>0</v>
      </c>
      <c r="C276" s="30">
        <f t="shared" si="252"/>
        <v>0</v>
      </c>
      <c r="D276" s="23">
        <f>E276</f>
        <v>0</v>
      </c>
      <c r="E276" s="30">
        <f>M276+O276+Q276+S276+U276+W276+Y276+AA276+AC276+AE276</f>
        <v>0</v>
      </c>
      <c r="F276" s="24" t="e">
        <f t="shared" si="248"/>
        <v>#DIV/0!</v>
      </c>
      <c r="G276" s="24" t="e">
        <f t="shared" si="249"/>
        <v>#DIV/0!</v>
      </c>
      <c r="H276" s="13">
        <f t="shared" si="253"/>
        <v>0</v>
      </c>
      <c r="I276" s="13">
        <f t="shared" si="251"/>
        <v>0</v>
      </c>
      <c r="J276" s="13">
        <f t="shared" si="251"/>
        <v>0</v>
      </c>
      <c r="K276" s="13">
        <f t="shared" si="251"/>
        <v>0</v>
      </c>
      <c r="L276" s="13">
        <f t="shared" si="251"/>
        <v>0</v>
      </c>
      <c r="M276" s="13">
        <f t="shared" si="251"/>
        <v>0</v>
      </c>
      <c r="N276" s="13">
        <f t="shared" si="251"/>
        <v>0</v>
      </c>
      <c r="O276" s="13">
        <f t="shared" si="251"/>
        <v>0</v>
      </c>
      <c r="P276" s="13">
        <f t="shared" si="251"/>
        <v>0</v>
      </c>
      <c r="Q276" s="13">
        <f t="shared" si="251"/>
        <v>0</v>
      </c>
      <c r="R276" s="13">
        <f t="shared" si="251"/>
        <v>0</v>
      </c>
      <c r="S276" s="13">
        <f t="shared" si="251"/>
        <v>0</v>
      </c>
      <c r="T276" s="13">
        <f t="shared" si="251"/>
        <v>0</v>
      </c>
      <c r="U276" s="13">
        <f t="shared" si="251"/>
        <v>0</v>
      </c>
      <c r="V276" s="13">
        <f t="shared" si="251"/>
        <v>0</v>
      </c>
      <c r="W276" s="13">
        <f t="shared" si="251"/>
        <v>0</v>
      </c>
      <c r="X276" s="13">
        <f t="shared" si="251"/>
        <v>0</v>
      </c>
      <c r="Y276" s="13">
        <f t="shared" si="251"/>
        <v>0</v>
      </c>
      <c r="Z276" s="13">
        <f t="shared" si="251"/>
        <v>0</v>
      </c>
      <c r="AA276" s="13">
        <f t="shared" si="251"/>
        <v>0</v>
      </c>
      <c r="AB276" s="13">
        <f t="shared" si="251"/>
        <v>0</v>
      </c>
      <c r="AC276" s="13">
        <f t="shared" si="251"/>
        <v>0</v>
      </c>
      <c r="AD276" s="13">
        <f t="shared" si="251"/>
        <v>0</v>
      </c>
      <c r="AE276" s="13">
        <f t="shared" si="251"/>
        <v>0</v>
      </c>
      <c r="AF276" s="112"/>
      <c r="AG276" s="133"/>
      <c r="AH276" s="15"/>
      <c r="AI276" s="15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</row>
    <row r="277" spans="1:62" ht="74.25" customHeight="1" x14ac:dyDescent="0.25">
      <c r="A277" s="64" t="s">
        <v>31</v>
      </c>
      <c r="B277" s="23">
        <f>H277+J277+L277+N277+P277+R277+T277+V277+X277+Z277+AB277+AD277</f>
        <v>75000</v>
      </c>
      <c r="C277" s="23">
        <f t="shared" ref="C277:E277" si="254">I277+K277+M277+O277+Q277+S277+U277+W277+Y277+AA277+AC277+AE277</f>
        <v>65000</v>
      </c>
      <c r="D277" s="23">
        <f t="shared" si="254"/>
        <v>75000</v>
      </c>
      <c r="E277" s="23">
        <f t="shared" si="254"/>
        <v>65000</v>
      </c>
      <c r="F277" s="24">
        <f t="shared" si="248"/>
        <v>86.666666666666671</v>
      </c>
      <c r="G277" s="24">
        <f t="shared" si="249"/>
        <v>100</v>
      </c>
      <c r="H277" s="13">
        <f t="shared" si="253"/>
        <v>0</v>
      </c>
      <c r="I277" s="13">
        <f t="shared" si="251"/>
        <v>0</v>
      </c>
      <c r="J277" s="13">
        <f t="shared" si="251"/>
        <v>0</v>
      </c>
      <c r="K277" s="13">
        <f t="shared" si="251"/>
        <v>0</v>
      </c>
      <c r="L277" s="13">
        <f t="shared" si="251"/>
        <v>0</v>
      </c>
      <c r="M277" s="13">
        <f t="shared" si="251"/>
        <v>0</v>
      </c>
      <c r="N277" s="13">
        <f>N284+N291</f>
        <v>25000</v>
      </c>
      <c r="O277" s="13">
        <f t="shared" si="251"/>
        <v>0</v>
      </c>
      <c r="P277" s="13">
        <f t="shared" si="251"/>
        <v>0</v>
      </c>
      <c r="Q277" s="13">
        <v>25000</v>
      </c>
      <c r="R277" s="13">
        <f t="shared" si="251"/>
        <v>7500</v>
      </c>
      <c r="S277" s="13">
        <f t="shared" si="251"/>
        <v>7500</v>
      </c>
      <c r="T277" s="13">
        <f t="shared" si="251"/>
        <v>3536.8</v>
      </c>
      <c r="U277" s="13">
        <f t="shared" si="251"/>
        <v>3536.8</v>
      </c>
      <c r="V277" s="13">
        <f t="shared" si="251"/>
        <v>7474.9</v>
      </c>
      <c r="W277" s="13">
        <f t="shared" si="251"/>
        <v>7474.9</v>
      </c>
      <c r="X277" s="13">
        <f t="shared" si="251"/>
        <v>21488.3</v>
      </c>
      <c r="Y277" s="13">
        <f t="shared" si="251"/>
        <v>21488.3</v>
      </c>
      <c r="Z277" s="13">
        <f t="shared" si="251"/>
        <v>0</v>
      </c>
      <c r="AA277" s="13">
        <f t="shared" si="251"/>
        <v>0</v>
      </c>
      <c r="AB277" s="13">
        <f t="shared" si="251"/>
        <v>10000</v>
      </c>
      <c r="AC277" s="13">
        <f t="shared" si="251"/>
        <v>0</v>
      </c>
      <c r="AD277" s="13">
        <f t="shared" si="251"/>
        <v>0</v>
      </c>
      <c r="AE277" s="13">
        <f t="shared" si="251"/>
        <v>0</v>
      </c>
      <c r="AF277" s="113"/>
      <c r="AG277" s="133"/>
      <c r="AH277" s="15"/>
      <c r="AI277" s="15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</row>
    <row r="278" spans="1:62" ht="18.75" x14ac:dyDescent="0.25">
      <c r="A278" s="131" t="s">
        <v>111</v>
      </c>
      <c r="B278" s="132"/>
      <c r="C278" s="132"/>
      <c r="D278" s="132"/>
      <c r="E278" s="132"/>
      <c r="F278" s="132"/>
      <c r="G278" s="132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90"/>
      <c r="AF278" s="97"/>
      <c r="AG278" s="15"/>
      <c r="AH278" s="15"/>
      <c r="AI278" s="15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</row>
    <row r="279" spans="1:62" ht="18.75" x14ac:dyDescent="0.25">
      <c r="A279" s="63" t="s">
        <v>27</v>
      </c>
      <c r="B279" s="13">
        <f>B280+B281+B283+B284</f>
        <v>75000</v>
      </c>
      <c r="C279" s="13">
        <f t="shared" ref="C279:E279" si="255">C280+C281+C283+C284</f>
        <v>65000</v>
      </c>
      <c r="D279" s="13">
        <f t="shared" si="255"/>
        <v>65000</v>
      </c>
      <c r="E279" s="13">
        <f t="shared" si="255"/>
        <v>65000</v>
      </c>
      <c r="F279" s="21">
        <f t="shared" ref="F279:F284" si="256">E279/B279*100</f>
        <v>86.666666666666671</v>
      </c>
      <c r="G279" s="21">
        <f t="shared" ref="G279:G284" si="257">E279/C279*100</f>
        <v>100</v>
      </c>
      <c r="H279" s="13">
        <f t="shared" ref="H279:AE279" si="258">H280+H281+H283+H284</f>
        <v>0</v>
      </c>
      <c r="I279" s="13">
        <f t="shared" si="258"/>
        <v>0</v>
      </c>
      <c r="J279" s="13">
        <f t="shared" si="258"/>
        <v>0</v>
      </c>
      <c r="K279" s="13">
        <f t="shared" si="258"/>
        <v>0</v>
      </c>
      <c r="L279" s="13">
        <f t="shared" si="258"/>
        <v>0</v>
      </c>
      <c r="M279" s="13">
        <f t="shared" si="258"/>
        <v>0</v>
      </c>
      <c r="N279" s="13">
        <f t="shared" si="258"/>
        <v>25000</v>
      </c>
      <c r="O279" s="13">
        <f t="shared" si="258"/>
        <v>0</v>
      </c>
      <c r="P279" s="13">
        <f t="shared" si="258"/>
        <v>0</v>
      </c>
      <c r="Q279" s="13">
        <f t="shared" si="258"/>
        <v>25000</v>
      </c>
      <c r="R279" s="13">
        <f t="shared" si="258"/>
        <v>7500</v>
      </c>
      <c r="S279" s="13">
        <f t="shared" si="258"/>
        <v>7500</v>
      </c>
      <c r="T279" s="13">
        <f t="shared" si="258"/>
        <v>3536.8</v>
      </c>
      <c r="U279" s="13">
        <f t="shared" si="258"/>
        <v>3536.8</v>
      </c>
      <c r="V279" s="13">
        <f t="shared" si="258"/>
        <v>7474.9</v>
      </c>
      <c r="W279" s="13">
        <f t="shared" si="258"/>
        <v>7474.9</v>
      </c>
      <c r="X279" s="13">
        <f t="shared" si="258"/>
        <v>21488.3</v>
      </c>
      <c r="Y279" s="13">
        <f t="shared" si="258"/>
        <v>21488.3</v>
      </c>
      <c r="Z279" s="13">
        <f t="shared" si="258"/>
        <v>0</v>
      </c>
      <c r="AA279" s="13">
        <f t="shared" si="258"/>
        <v>0</v>
      </c>
      <c r="AB279" s="13">
        <f t="shared" si="258"/>
        <v>10000</v>
      </c>
      <c r="AC279" s="13">
        <f t="shared" si="258"/>
        <v>0</v>
      </c>
      <c r="AD279" s="13">
        <f t="shared" si="258"/>
        <v>0</v>
      </c>
      <c r="AE279" s="13">
        <f t="shared" si="258"/>
        <v>0</v>
      </c>
      <c r="AF279" s="99"/>
      <c r="AG279" s="104"/>
      <c r="AH279" s="15"/>
      <c r="AI279" s="15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</row>
    <row r="280" spans="1:62" ht="18.75" x14ac:dyDescent="0.3">
      <c r="A280" s="22" t="s">
        <v>28</v>
      </c>
      <c r="B280" s="23">
        <f>H280+J280+L280+N280+P280+R280+T280+V280+X280+Z280+AB280+AD280</f>
        <v>0</v>
      </c>
      <c r="C280" s="30">
        <f>H280</f>
        <v>0</v>
      </c>
      <c r="D280" s="23">
        <f>E280</f>
        <v>0</v>
      </c>
      <c r="E280" s="30">
        <f>M280+O280+Q280+S280+U280+W280+Y280+AA280+AC280+AE280</f>
        <v>0</v>
      </c>
      <c r="F280" s="24" t="e">
        <f t="shared" si="256"/>
        <v>#DIV/0!</v>
      </c>
      <c r="G280" s="24" t="e">
        <f t="shared" si="257"/>
        <v>#DIV/0!</v>
      </c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23"/>
      <c r="U280" s="2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91"/>
      <c r="AG280" s="15"/>
      <c r="AH280" s="15"/>
      <c r="AI280" s="15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</row>
    <row r="281" spans="1:62" ht="18.75" x14ac:dyDescent="0.25">
      <c r="A281" s="64" t="s">
        <v>85</v>
      </c>
      <c r="B281" s="23">
        <f>H281+J281+L281+N281+P281+R281+T281+V281+X281+Z281+AB281+AD281</f>
        <v>0</v>
      </c>
      <c r="C281" s="30">
        <f t="shared" ref="C281:C283" si="259">H281</f>
        <v>0</v>
      </c>
      <c r="D281" s="23">
        <f>E281</f>
        <v>0</v>
      </c>
      <c r="E281" s="30">
        <f>I281+K281+M281+O281+Q281+S281+U281+W281+Y281+AA281+AC281+AE281</f>
        <v>0</v>
      </c>
      <c r="F281" s="24" t="e">
        <f t="shared" si="256"/>
        <v>#DIV/0!</v>
      </c>
      <c r="G281" s="24" t="e">
        <f t="shared" si="257"/>
        <v>#DIV/0!</v>
      </c>
      <c r="H281" s="13"/>
      <c r="I281" s="13"/>
      <c r="J281" s="13"/>
      <c r="K281" s="13"/>
      <c r="L281" s="13"/>
      <c r="M281" s="13"/>
      <c r="N281" s="13"/>
      <c r="O281" s="13"/>
      <c r="P281" s="1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13"/>
      <c r="AF281" s="91"/>
      <c r="AG281" s="15"/>
      <c r="AH281" s="15"/>
      <c r="AI281" s="15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</row>
    <row r="282" spans="1:62" ht="37.5" x14ac:dyDescent="0.25">
      <c r="A282" s="64" t="s">
        <v>44</v>
      </c>
      <c r="B282" s="23">
        <f>H282+J282+L282+N282+P282+R282+T282+V282+X282+Z282+AB282+AD282</f>
        <v>0</v>
      </c>
      <c r="C282" s="30">
        <f t="shared" si="259"/>
        <v>0</v>
      </c>
      <c r="D282" s="23">
        <f>E282</f>
        <v>0</v>
      </c>
      <c r="E282" s="30">
        <f>I282+K282+M282+O282+Q282+S282+U282+W282+Y282+AA282+AC282+AE282</f>
        <v>0</v>
      </c>
      <c r="F282" s="24" t="e">
        <f t="shared" si="256"/>
        <v>#DIV/0!</v>
      </c>
      <c r="G282" s="24" t="e">
        <f t="shared" si="257"/>
        <v>#DIV/0!</v>
      </c>
      <c r="H282" s="13"/>
      <c r="I282" s="13"/>
      <c r="J282" s="13"/>
      <c r="K282" s="13"/>
      <c r="L282" s="13"/>
      <c r="M282" s="13"/>
      <c r="N282" s="13"/>
      <c r="O282" s="13"/>
      <c r="P282" s="1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13"/>
      <c r="AF282" s="91"/>
      <c r="AG282" s="15"/>
      <c r="AH282" s="15"/>
      <c r="AI282" s="15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</row>
    <row r="283" spans="1:62" ht="18.75" x14ac:dyDescent="0.25">
      <c r="A283" s="64" t="s">
        <v>30</v>
      </c>
      <c r="B283" s="23">
        <f>H283+J283+L283+N283+P283+R283+T283+V283+X283+Z283+AB283+AD283</f>
        <v>0</v>
      </c>
      <c r="C283" s="30">
        <f t="shared" si="259"/>
        <v>0</v>
      </c>
      <c r="D283" s="23">
        <f>E283</f>
        <v>0</v>
      </c>
      <c r="E283" s="30">
        <f>M283+O283+Q283+S283+U283+W283+Y283+AA283+AC283+AE283</f>
        <v>0</v>
      </c>
      <c r="F283" s="24" t="e">
        <f t="shared" si="256"/>
        <v>#DIV/0!</v>
      </c>
      <c r="G283" s="24" t="e">
        <f t="shared" si="257"/>
        <v>#DIV/0!</v>
      </c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91"/>
      <c r="AG283" s="15"/>
      <c r="AH283" s="15"/>
      <c r="AI283" s="15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</row>
    <row r="284" spans="1:62" ht="18.75" x14ac:dyDescent="0.25">
      <c r="A284" s="64" t="s">
        <v>31</v>
      </c>
      <c r="B284" s="23">
        <f>H284+J284+L284+N284+P284+R284+T284+V284+X284+Z284+AB284+AD284</f>
        <v>75000</v>
      </c>
      <c r="C284" s="30">
        <f>H284+J284+L284+N284+P284+R284+T284+V284+X284</f>
        <v>65000</v>
      </c>
      <c r="D284" s="23">
        <v>65000</v>
      </c>
      <c r="E284" s="30">
        <f>M284+O284+Q284+S284+U284+W284+Y284+AA284+AC284+AE284</f>
        <v>65000</v>
      </c>
      <c r="F284" s="24">
        <f t="shared" si="256"/>
        <v>86.666666666666671</v>
      </c>
      <c r="G284" s="24">
        <f t="shared" si="257"/>
        <v>100</v>
      </c>
      <c r="H284" s="13"/>
      <c r="I284" s="13"/>
      <c r="J284" s="13"/>
      <c r="K284" s="13"/>
      <c r="L284" s="13"/>
      <c r="M284" s="13"/>
      <c r="N284" s="13">
        <v>25000</v>
      </c>
      <c r="O284" s="13"/>
      <c r="P284" s="13"/>
      <c r="Q284" s="13">
        <v>25000</v>
      </c>
      <c r="R284" s="13">
        <v>7500</v>
      </c>
      <c r="S284" s="13">
        <v>7500</v>
      </c>
      <c r="T284" s="13">
        <v>3536.8</v>
      </c>
      <c r="U284" s="13">
        <v>3536.8</v>
      </c>
      <c r="V284" s="13">
        <v>7474.9</v>
      </c>
      <c r="W284" s="13">
        <v>7474.9</v>
      </c>
      <c r="X284" s="13">
        <v>21488.3</v>
      </c>
      <c r="Y284" s="13">
        <v>21488.3</v>
      </c>
      <c r="Z284" s="13"/>
      <c r="AA284" s="13"/>
      <c r="AB284" s="13">
        <v>10000</v>
      </c>
      <c r="AC284" s="13"/>
      <c r="AD284" s="13"/>
      <c r="AE284" s="13"/>
      <c r="AF284" s="91"/>
      <c r="AG284" s="15"/>
      <c r="AH284" s="15"/>
      <c r="AI284" s="15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</row>
    <row r="285" spans="1:62" ht="18.75" x14ac:dyDescent="0.25">
      <c r="A285" s="131" t="s">
        <v>112</v>
      </c>
      <c r="B285" s="132"/>
      <c r="C285" s="132"/>
      <c r="D285" s="132"/>
      <c r="E285" s="132"/>
      <c r="F285" s="132"/>
      <c r="G285" s="132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90"/>
      <c r="AF285" s="97"/>
      <c r="AG285" s="15"/>
      <c r="AH285" s="15"/>
      <c r="AI285" s="15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</row>
    <row r="286" spans="1:62" ht="18.75" x14ac:dyDescent="0.25">
      <c r="A286" s="63" t="s">
        <v>27</v>
      </c>
      <c r="B286" s="13">
        <f>B287+B288+B290+B291</f>
        <v>2262</v>
      </c>
      <c r="C286" s="13">
        <f t="shared" ref="C286:E286" si="260">C287+C288+C290+C291</f>
        <v>2262</v>
      </c>
      <c r="D286" s="13">
        <f t="shared" si="260"/>
        <v>2262</v>
      </c>
      <c r="E286" s="13">
        <f t="shared" si="260"/>
        <v>2262</v>
      </c>
      <c r="F286" s="21">
        <f t="shared" ref="F286:F291" si="261">E286/B286*100</f>
        <v>100</v>
      </c>
      <c r="G286" s="21">
        <f t="shared" ref="G286:G291" si="262">E286/C286*100</f>
        <v>100</v>
      </c>
      <c r="H286" s="13">
        <f t="shared" ref="H286:AE286" si="263">H287+H288+H290+H291</f>
        <v>0</v>
      </c>
      <c r="I286" s="13">
        <f t="shared" si="263"/>
        <v>0</v>
      </c>
      <c r="J286" s="13">
        <f t="shared" si="263"/>
        <v>0</v>
      </c>
      <c r="K286" s="13">
        <f t="shared" si="263"/>
        <v>0</v>
      </c>
      <c r="L286" s="13">
        <f t="shared" si="263"/>
        <v>0</v>
      </c>
      <c r="M286" s="13">
        <f t="shared" si="263"/>
        <v>0</v>
      </c>
      <c r="N286" s="13">
        <f t="shared" si="263"/>
        <v>0</v>
      </c>
      <c r="O286" s="13">
        <f t="shared" si="263"/>
        <v>0</v>
      </c>
      <c r="P286" s="13">
        <f t="shared" si="263"/>
        <v>2262</v>
      </c>
      <c r="Q286" s="13">
        <f t="shared" si="263"/>
        <v>0</v>
      </c>
      <c r="R286" s="13">
        <f t="shared" si="263"/>
        <v>0</v>
      </c>
      <c r="S286" s="13">
        <f t="shared" si="263"/>
        <v>0</v>
      </c>
      <c r="T286" s="13">
        <f t="shared" si="263"/>
        <v>0</v>
      </c>
      <c r="U286" s="13">
        <f t="shared" si="263"/>
        <v>499.9</v>
      </c>
      <c r="V286" s="13">
        <f t="shared" si="263"/>
        <v>0</v>
      </c>
      <c r="W286" s="13">
        <f t="shared" si="263"/>
        <v>284.3</v>
      </c>
      <c r="X286" s="13">
        <f t="shared" si="263"/>
        <v>0</v>
      </c>
      <c r="Y286" s="13">
        <f t="shared" si="263"/>
        <v>1477.8</v>
      </c>
      <c r="Z286" s="13">
        <f t="shared" si="263"/>
        <v>0</v>
      </c>
      <c r="AA286" s="13">
        <f t="shared" si="263"/>
        <v>0</v>
      </c>
      <c r="AB286" s="13">
        <f t="shared" si="263"/>
        <v>0</v>
      </c>
      <c r="AC286" s="13">
        <f t="shared" si="263"/>
        <v>0</v>
      </c>
      <c r="AD286" s="13">
        <f t="shared" si="263"/>
        <v>0</v>
      </c>
      <c r="AE286" s="13">
        <f t="shared" si="263"/>
        <v>0</v>
      </c>
      <c r="AF286" s="99"/>
      <c r="AG286" s="104"/>
      <c r="AH286" s="15"/>
      <c r="AI286" s="15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</row>
    <row r="287" spans="1:62" ht="46.5" customHeight="1" x14ac:dyDescent="0.3">
      <c r="A287" s="22" t="s">
        <v>28</v>
      </c>
      <c r="B287" s="23">
        <f>H287+J287+L287+N287+P287+R287+T287+V287+X287+Z287+AB287+AD287</f>
        <v>1477.8</v>
      </c>
      <c r="C287" s="30">
        <f>H287+P287</f>
        <v>1477.8</v>
      </c>
      <c r="D287" s="23">
        <f>E287</f>
        <v>1477.8</v>
      </c>
      <c r="E287" s="30">
        <f>M287+O287+Q287+S287+U287+W287+Y287+AA287+AC287+AE287</f>
        <v>1477.8</v>
      </c>
      <c r="F287" s="24">
        <f t="shared" si="261"/>
        <v>100</v>
      </c>
      <c r="G287" s="24">
        <f t="shared" si="262"/>
        <v>100</v>
      </c>
      <c r="H287" s="13"/>
      <c r="I287" s="13"/>
      <c r="J287" s="13"/>
      <c r="K287" s="13"/>
      <c r="L287" s="13"/>
      <c r="M287" s="13"/>
      <c r="N287" s="13"/>
      <c r="O287" s="13"/>
      <c r="P287" s="13">
        <v>1477.8</v>
      </c>
      <c r="Q287" s="13"/>
      <c r="R287" s="13"/>
      <c r="S287" s="13"/>
      <c r="T287" s="23"/>
      <c r="U287" s="23"/>
      <c r="V287" s="13"/>
      <c r="W287" s="13"/>
      <c r="X287" s="13"/>
      <c r="Y287" s="13">
        <v>1477.8</v>
      </c>
      <c r="Z287" s="13"/>
      <c r="AA287" s="13"/>
      <c r="AB287" s="13"/>
      <c r="AC287" s="13"/>
      <c r="AD287" s="13"/>
      <c r="AE287" s="13"/>
      <c r="AF287" s="91" t="s">
        <v>120</v>
      </c>
      <c r="AG287" s="15"/>
      <c r="AH287" s="15"/>
      <c r="AI287" s="15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</row>
    <row r="288" spans="1:62" ht="18.75" x14ac:dyDescent="0.25">
      <c r="A288" s="64" t="s">
        <v>85</v>
      </c>
      <c r="B288" s="23">
        <f>H288+J288+L288+N288+P288+R288+T288+V288+X288+Z288+AB288+AD288</f>
        <v>784.2</v>
      </c>
      <c r="C288" s="30">
        <f>H288+P288</f>
        <v>784.2</v>
      </c>
      <c r="D288" s="23">
        <f>E288</f>
        <v>784.2</v>
      </c>
      <c r="E288" s="30">
        <f>I288+K288+M288+O288+Q288+S288+U288+W288+Y288+AA288+AC288+AE288</f>
        <v>784.2</v>
      </c>
      <c r="F288" s="24">
        <f t="shared" si="261"/>
        <v>100</v>
      </c>
      <c r="G288" s="24">
        <f t="shared" si="262"/>
        <v>100</v>
      </c>
      <c r="H288" s="13"/>
      <c r="I288" s="13"/>
      <c r="J288" s="13"/>
      <c r="K288" s="13"/>
      <c r="L288" s="13"/>
      <c r="M288" s="13"/>
      <c r="N288" s="13"/>
      <c r="O288" s="13"/>
      <c r="P288" s="13">
        <v>784.2</v>
      </c>
      <c r="Q288" s="23"/>
      <c r="R288" s="23"/>
      <c r="S288" s="23"/>
      <c r="T288" s="23"/>
      <c r="U288" s="23">
        <v>499.9</v>
      </c>
      <c r="V288" s="23"/>
      <c r="W288" s="23">
        <v>284.3</v>
      </c>
      <c r="X288" s="23"/>
      <c r="Y288" s="23"/>
      <c r="Z288" s="23"/>
      <c r="AA288" s="23"/>
      <c r="AB288" s="23"/>
      <c r="AC288" s="23"/>
      <c r="AD288" s="23"/>
      <c r="AE288" s="13"/>
      <c r="AF288" s="91"/>
      <c r="AG288" s="15"/>
      <c r="AH288" s="15"/>
      <c r="AI288" s="15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</row>
    <row r="289" spans="1:62" ht="37.5" x14ac:dyDescent="0.25">
      <c r="A289" s="64" t="s">
        <v>44</v>
      </c>
      <c r="B289" s="23">
        <f>H289+J289+L289+N289+P289+R289+T289+V289+X289+Z289+AB289+AD289</f>
        <v>0</v>
      </c>
      <c r="C289" s="30">
        <f t="shared" ref="C289:C290" si="264">H289</f>
        <v>0</v>
      </c>
      <c r="D289" s="23">
        <f>E289</f>
        <v>0</v>
      </c>
      <c r="E289" s="30">
        <f>I289+K289+M289+O289+Q289+S289+U289+W289+Y289+AA289+AC289+AE289</f>
        <v>0</v>
      </c>
      <c r="F289" s="24" t="e">
        <f t="shared" si="261"/>
        <v>#DIV/0!</v>
      </c>
      <c r="G289" s="24" t="e">
        <f t="shared" si="262"/>
        <v>#DIV/0!</v>
      </c>
      <c r="H289" s="13"/>
      <c r="I289" s="13"/>
      <c r="J289" s="13"/>
      <c r="K289" s="13"/>
      <c r="L289" s="13"/>
      <c r="M289" s="13"/>
      <c r="N289" s="13"/>
      <c r="O289" s="13"/>
      <c r="P289" s="1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13"/>
      <c r="AF289" s="91"/>
      <c r="AG289" s="15"/>
      <c r="AH289" s="15"/>
      <c r="AI289" s="15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</row>
    <row r="290" spans="1:62" ht="18.75" x14ac:dyDescent="0.25">
      <c r="A290" s="64" t="s">
        <v>30</v>
      </c>
      <c r="B290" s="23">
        <f>H290+J290+L290+N290+P290+R290+T290+V290+X290+Z290+AB290+AD290</f>
        <v>0</v>
      </c>
      <c r="C290" s="30">
        <f t="shared" si="264"/>
        <v>0</v>
      </c>
      <c r="D290" s="23">
        <f>E290</f>
        <v>0</v>
      </c>
      <c r="E290" s="30">
        <f>M290+O290+Q290+S290+U290+W290+Y290+AA290+AC290+AE290</f>
        <v>0</v>
      </c>
      <c r="F290" s="24" t="e">
        <f t="shared" si="261"/>
        <v>#DIV/0!</v>
      </c>
      <c r="G290" s="24" t="e">
        <f t="shared" si="262"/>
        <v>#DIV/0!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91"/>
      <c r="AG290" s="15"/>
      <c r="AH290" s="15"/>
      <c r="AI290" s="15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</row>
    <row r="291" spans="1:62" ht="18.75" x14ac:dyDescent="0.25">
      <c r="A291" s="64" t="s">
        <v>31</v>
      </c>
      <c r="B291" s="23">
        <f>H291+J291+L291+N291+P291+R291+T291+V291+X291+Z291+AB291+AD291</f>
        <v>0</v>
      </c>
      <c r="C291" s="30">
        <f>H291+J291+L291+N291+T291+V291+X291+Z291</f>
        <v>0</v>
      </c>
      <c r="D291" s="23">
        <f>E291</f>
        <v>0</v>
      </c>
      <c r="E291" s="30">
        <f>M291+O291+Q291+S291+U291+W291+Y291+AA291+AC291+AE291</f>
        <v>0</v>
      </c>
      <c r="F291" s="24" t="e">
        <f t="shared" si="261"/>
        <v>#DIV/0!</v>
      </c>
      <c r="G291" s="24" t="e">
        <f t="shared" si="262"/>
        <v>#DIV/0!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91"/>
      <c r="AG291" s="15"/>
      <c r="AH291" s="15"/>
      <c r="AI291" s="15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</row>
    <row r="292" spans="1:62" ht="18.75" x14ac:dyDescent="0.25">
      <c r="A292" s="105" t="s">
        <v>89</v>
      </c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7"/>
      <c r="AF292" s="105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7"/>
    </row>
    <row r="293" spans="1:62" ht="18.75" x14ac:dyDescent="0.25">
      <c r="A293" s="63" t="s">
        <v>27</v>
      </c>
      <c r="B293" s="13">
        <f>B294+B295+B297+B298</f>
        <v>9931</v>
      </c>
      <c r="C293" s="13">
        <f t="shared" ref="C293:E293" si="265">C294+C295+C297+C298</f>
        <v>9931</v>
      </c>
      <c r="D293" s="13">
        <f t="shared" si="265"/>
        <v>5605.8</v>
      </c>
      <c r="E293" s="13">
        <f t="shared" si="265"/>
        <v>5605.8</v>
      </c>
      <c r="F293" s="21">
        <f t="shared" ref="F293:F298" si="266">E293/B293*100</f>
        <v>56.447487664887731</v>
      </c>
      <c r="G293" s="21">
        <f t="shared" ref="G293:G298" si="267">E293/C293*100</f>
        <v>56.447487664887731</v>
      </c>
      <c r="H293" s="13">
        <f t="shared" ref="H293:AE293" si="268">H294+H295+H297+H298</f>
        <v>0</v>
      </c>
      <c r="I293" s="13">
        <f t="shared" si="268"/>
        <v>0</v>
      </c>
      <c r="J293" s="13">
        <f t="shared" si="268"/>
        <v>0</v>
      </c>
      <c r="K293" s="13">
        <f t="shared" si="268"/>
        <v>0</v>
      </c>
      <c r="L293" s="13">
        <f t="shared" si="268"/>
        <v>0</v>
      </c>
      <c r="M293" s="13">
        <f t="shared" si="268"/>
        <v>0</v>
      </c>
      <c r="N293" s="13">
        <f t="shared" si="268"/>
        <v>0</v>
      </c>
      <c r="O293" s="13">
        <f t="shared" si="268"/>
        <v>0</v>
      </c>
      <c r="P293" s="13">
        <f t="shared" si="268"/>
        <v>4325.2</v>
      </c>
      <c r="Q293" s="13">
        <f t="shared" si="268"/>
        <v>0</v>
      </c>
      <c r="R293" s="13">
        <f t="shared" si="268"/>
        <v>0</v>
      </c>
      <c r="S293" s="13">
        <f t="shared" si="268"/>
        <v>0</v>
      </c>
      <c r="T293" s="13">
        <f t="shared" si="268"/>
        <v>5605.8</v>
      </c>
      <c r="U293" s="13">
        <f t="shared" si="268"/>
        <v>1497.5</v>
      </c>
      <c r="V293" s="13">
        <f t="shared" si="268"/>
        <v>0</v>
      </c>
      <c r="W293" s="13">
        <f t="shared" si="268"/>
        <v>4108.3</v>
      </c>
      <c r="X293" s="13">
        <f t="shared" si="268"/>
        <v>0</v>
      </c>
      <c r="Y293" s="13">
        <f t="shared" si="268"/>
        <v>0</v>
      </c>
      <c r="Z293" s="13">
        <f t="shared" si="268"/>
        <v>0</v>
      </c>
      <c r="AA293" s="13">
        <f t="shared" si="268"/>
        <v>0</v>
      </c>
      <c r="AB293" s="13">
        <f t="shared" si="268"/>
        <v>0</v>
      </c>
      <c r="AC293" s="13">
        <f t="shared" si="268"/>
        <v>0</v>
      </c>
      <c r="AD293" s="13">
        <f t="shared" si="268"/>
        <v>0</v>
      </c>
      <c r="AE293" s="13">
        <f t="shared" si="268"/>
        <v>0</v>
      </c>
      <c r="AF293" s="111" t="s">
        <v>121</v>
      </c>
      <c r="AG293" s="133"/>
      <c r="AH293" s="15"/>
      <c r="AI293" s="15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</row>
    <row r="294" spans="1:62" ht="18.75" x14ac:dyDescent="0.3">
      <c r="A294" s="22" t="s">
        <v>28</v>
      </c>
      <c r="B294" s="23">
        <f>H294+J294+L294+N294+P294+R294+T294+V294+X294+Z294+AB294+AD294</f>
        <v>2930.2</v>
      </c>
      <c r="C294" s="30">
        <f>H294+AB294+P294</f>
        <v>2930.2</v>
      </c>
      <c r="D294" s="23">
        <f>E294</f>
        <v>0</v>
      </c>
      <c r="E294" s="30">
        <f>M294+O294+Q294+S294+U294+W294+Y294+AA294+AC294+AE294</f>
        <v>0</v>
      </c>
      <c r="F294" s="24">
        <f t="shared" si="266"/>
        <v>0</v>
      </c>
      <c r="G294" s="24">
        <f t="shared" si="267"/>
        <v>0</v>
      </c>
      <c r="H294" s="13"/>
      <c r="I294" s="13"/>
      <c r="J294" s="13"/>
      <c r="K294" s="13"/>
      <c r="L294" s="13"/>
      <c r="M294" s="13"/>
      <c r="N294" s="13"/>
      <c r="O294" s="13"/>
      <c r="P294" s="13">
        <v>2930.2</v>
      </c>
      <c r="Q294" s="13"/>
      <c r="R294" s="13"/>
      <c r="S294" s="13"/>
      <c r="T294" s="23"/>
      <c r="U294" s="2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12"/>
      <c r="AG294" s="133"/>
      <c r="AH294" s="15"/>
      <c r="AI294" s="15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</row>
    <row r="295" spans="1:62" ht="18.75" x14ac:dyDescent="0.25">
      <c r="A295" s="64" t="s">
        <v>85</v>
      </c>
      <c r="B295" s="23">
        <f>H295+J295+L295+N295+P295+R295+T295+V295+X295+Z295+AB295+AD295</f>
        <v>7000.8</v>
      </c>
      <c r="C295" s="30">
        <f>H295+AB295+P295+T295</f>
        <v>7000.8</v>
      </c>
      <c r="D295" s="23">
        <f>E295</f>
        <v>5605.8</v>
      </c>
      <c r="E295" s="30">
        <f>I295+K295+M295+O295+Q295+S295+U295+W295+Y295+AA295+AC295+AE295</f>
        <v>5605.8</v>
      </c>
      <c r="F295" s="24">
        <f t="shared" si="266"/>
        <v>80.073705862187182</v>
      </c>
      <c r="G295" s="24">
        <f t="shared" si="267"/>
        <v>80.073705862187182</v>
      </c>
      <c r="H295" s="13"/>
      <c r="I295" s="13"/>
      <c r="J295" s="13"/>
      <c r="K295" s="13"/>
      <c r="L295" s="13"/>
      <c r="M295" s="13"/>
      <c r="N295" s="13"/>
      <c r="O295" s="13"/>
      <c r="P295" s="13">
        <v>1395</v>
      </c>
      <c r="Q295" s="23"/>
      <c r="R295" s="23"/>
      <c r="S295" s="23"/>
      <c r="T295" s="23">
        <v>5605.8</v>
      </c>
      <c r="U295" s="23">
        <v>1497.5</v>
      </c>
      <c r="V295" s="23"/>
      <c r="W295" s="23">
        <v>4108.3</v>
      </c>
      <c r="X295" s="23"/>
      <c r="Y295" s="23"/>
      <c r="Z295" s="23"/>
      <c r="AA295" s="23"/>
      <c r="AB295" s="23"/>
      <c r="AC295" s="23"/>
      <c r="AD295" s="23"/>
      <c r="AE295" s="13"/>
      <c r="AF295" s="112"/>
      <c r="AG295" s="133"/>
      <c r="AH295" s="15"/>
      <c r="AI295" s="15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</row>
    <row r="296" spans="1:62" ht="37.5" x14ac:dyDescent="0.25">
      <c r="A296" s="64" t="s">
        <v>44</v>
      </c>
      <c r="B296" s="23">
        <f>H296+J296+L296+N296+P296+R296+T296+V296+X296+Z296+AB296+AD296</f>
        <v>0</v>
      </c>
      <c r="C296" s="30">
        <f t="shared" ref="C296:C297" si="269">H296</f>
        <v>0</v>
      </c>
      <c r="D296" s="23">
        <f>E296</f>
        <v>0</v>
      </c>
      <c r="E296" s="30">
        <f>I296+K296+M296+O296+Q296+S296+U296+W296+Y296+AA296+AC296+AE296</f>
        <v>0</v>
      </c>
      <c r="F296" s="24" t="e">
        <f t="shared" si="266"/>
        <v>#DIV/0!</v>
      </c>
      <c r="G296" s="24" t="e">
        <f t="shared" si="267"/>
        <v>#DIV/0!</v>
      </c>
      <c r="H296" s="13"/>
      <c r="I296" s="13"/>
      <c r="J296" s="13"/>
      <c r="K296" s="13"/>
      <c r="L296" s="13"/>
      <c r="M296" s="13"/>
      <c r="N296" s="13"/>
      <c r="O296" s="13"/>
      <c r="P296" s="1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13"/>
      <c r="AF296" s="112"/>
      <c r="AG296" s="133"/>
      <c r="AH296" s="15"/>
      <c r="AI296" s="15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</row>
    <row r="297" spans="1:62" ht="18.75" x14ac:dyDescent="0.25">
      <c r="A297" s="64" t="s">
        <v>30</v>
      </c>
      <c r="B297" s="23">
        <f>H297+J297+L297+N297+P297+R297+T297+V297+X297+Z297+AB297+AD297</f>
        <v>0</v>
      </c>
      <c r="C297" s="30">
        <f t="shared" si="269"/>
        <v>0</v>
      </c>
      <c r="D297" s="23">
        <f>E297</f>
        <v>0</v>
      </c>
      <c r="E297" s="30">
        <f>M297+O297+Q297+S297+U297+W297+Y297+AA297+AC297+AE297</f>
        <v>0</v>
      </c>
      <c r="F297" s="24" t="e">
        <f t="shared" si="266"/>
        <v>#DIV/0!</v>
      </c>
      <c r="G297" s="24" t="e">
        <f t="shared" si="267"/>
        <v>#DIV/0!</v>
      </c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12"/>
      <c r="AG297" s="133"/>
      <c r="AH297" s="15"/>
      <c r="AI297" s="15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</row>
    <row r="298" spans="1:62" ht="18.75" x14ac:dyDescent="0.25">
      <c r="A298" s="64" t="s">
        <v>31</v>
      </c>
      <c r="B298" s="23">
        <f>H298+J298+L298+N298+P298+R298+T298+V298+X298+Z298+AB298+AD298</f>
        <v>0</v>
      </c>
      <c r="C298" s="30">
        <f>T298</f>
        <v>0</v>
      </c>
      <c r="D298" s="23">
        <v>0</v>
      </c>
      <c r="E298" s="30">
        <f>M298+O298+Q298+S298+U298+W298+Y298+AA298+AC298+AE298</f>
        <v>0</v>
      </c>
      <c r="F298" s="24" t="e">
        <f t="shared" si="266"/>
        <v>#DIV/0!</v>
      </c>
      <c r="G298" s="24" t="e">
        <f t="shared" si="267"/>
        <v>#DIV/0!</v>
      </c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13"/>
      <c r="AG298" s="133"/>
      <c r="AH298" s="15"/>
      <c r="AI298" s="15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</row>
    <row r="299" spans="1:62" ht="20.25" x14ac:dyDescent="0.25">
      <c r="A299" s="108" t="s">
        <v>90</v>
      </c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3"/>
      <c r="AF299" s="36"/>
      <c r="AG299" s="15"/>
      <c r="AH299" s="15"/>
      <c r="AI299" s="15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</row>
    <row r="300" spans="1:62" ht="18.75" x14ac:dyDescent="0.3">
      <c r="A300" s="19" t="s">
        <v>27</v>
      </c>
      <c r="B300" s="13">
        <f>B301+B302+B304+B305</f>
        <v>6968.3200000000006</v>
      </c>
      <c r="C300" s="13">
        <f>C301+C302+C304+C305</f>
        <v>6968.3</v>
      </c>
      <c r="D300" s="13">
        <f>D301+D302+D304+D305</f>
        <v>6967.87</v>
      </c>
      <c r="E300" s="13">
        <f>E301+E302+E304+E305</f>
        <v>6967.87</v>
      </c>
      <c r="F300" s="21">
        <f>E300/B300*100</f>
        <v>99.993542202424678</v>
      </c>
      <c r="G300" s="21">
        <f>E300/C300*100</f>
        <v>99.993829197939235</v>
      </c>
      <c r="H300" s="13">
        <f t="shared" ref="H300:AE300" si="270">H301+H302+H304+H305</f>
        <v>0</v>
      </c>
      <c r="I300" s="13">
        <f t="shared" si="270"/>
        <v>0</v>
      </c>
      <c r="J300" s="13">
        <f t="shared" si="270"/>
        <v>4968.4000000000005</v>
      </c>
      <c r="K300" s="13">
        <f t="shared" si="270"/>
        <v>4955</v>
      </c>
      <c r="L300" s="13">
        <f t="shared" si="270"/>
        <v>1999.8999999999999</v>
      </c>
      <c r="M300" s="13">
        <f t="shared" si="270"/>
        <v>2035.7</v>
      </c>
      <c r="N300" s="13">
        <f t="shared" si="270"/>
        <v>0</v>
      </c>
      <c r="O300" s="13">
        <f t="shared" si="270"/>
        <v>-31.51</v>
      </c>
      <c r="P300" s="13">
        <f t="shared" si="270"/>
        <v>0</v>
      </c>
      <c r="Q300" s="13">
        <f t="shared" si="270"/>
        <v>8.68</v>
      </c>
      <c r="R300" s="13">
        <f t="shared" si="270"/>
        <v>0</v>
      </c>
      <c r="S300" s="13">
        <f t="shared" si="270"/>
        <v>0</v>
      </c>
      <c r="T300" s="13">
        <f t="shared" si="270"/>
        <v>0</v>
      </c>
      <c r="U300" s="13">
        <f t="shared" si="270"/>
        <v>0</v>
      </c>
      <c r="V300" s="13">
        <f t="shared" si="270"/>
        <v>0</v>
      </c>
      <c r="W300" s="13">
        <f t="shared" si="270"/>
        <v>0</v>
      </c>
      <c r="X300" s="13">
        <f t="shared" si="270"/>
        <v>0</v>
      </c>
      <c r="Y300" s="13">
        <f t="shared" si="270"/>
        <v>0</v>
      </c>
      <c r="Z300" s="13">
        <f t="shared" si="270"/>
        <v>0</v>
      </c>
      <c r="AA300" s="13">
        <f t="shared" si="270"/>
        <v>0</v>
      </c>
      <c r="AB300" s="13">
        <f t="shared" si="270"/>
        <v>0</v>
      </c>
      <c r="AC300" s="13">
        <f t="shared" si="270"/>
        <v>0</v>
      </c>
      <c r="AD300" s="13">
        <f>AD301+AD302+AD304+AD305</f>
        <v>0.02</v>
      </c>
      <c r="AE300" s="13">
        <f t="shared" si="270"/>
        <v>0</v>
      </c>
      <c r="AF300" s="36"/>
      <c r="AG300" s="15"/>
      <c r="AH300" s="15"/>
      <c r="AI300" s="15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</row>
    <row r="301" spans="1:62" ht="18.75" x14ac:dyDescent="0.3">
      <c r="A301" s="22" t="s">
        <v>28</v>
      </c>
      <c r="B301" s="23">
        <f>B308</f>
        <v>0</v>
      </c>
      <c r="C301" s="23">
        <f>C308</f>
        <v>0</v>
      </c>
      <c r="D301" s="23">
        <f t="shared" ref="D301:E301" si="271">D308</f>
        <v>0</v>
      </c>
      <c r="E301" s="23">
        <f t="shared" si="271"/>
        <v>0</v>
      </c>
      <c r="F301" s="24" t="e">
        <f>E301/B301*100</f>
        <v>#DIV/0!</v>
      </c>
      <c r="G301" s="24" t="e">
        <f>E301/C301*100</f>
        <v>#DIV/0!</v>
      </c>
      <c r="H301" s="23">
        <f t="shared" ref="H301:AE305" si="272">H308</f>
        <v>0</v>
      </c>
      <c r="I301" s="23">
        <f t="shared" si="272"/>
        <v>0</v>
      </c>
      <c r="J301" s="23">
        <f t="shared" si="272"/>
        <v>0</v>
      </c>
      <c r="K301" s="23">
        <f t="shared" si="272"/>
        <v>0</v>
      </c>
      <c r="L301" s="23">
        <f t="shared" si="272"/>
        <v>0</v>
      </c>
      <c r="M301" s="23">
        <f t="shared" si="272"/>
        <v>0</v>
      </c>
      <c r="N301" s="23">
        <f t="shared" si="272"/>
        <v>0</v>
      </c>
      <c r="O301" s="23">
        <f t="shared" si="272"/>
        <v>0</v>
      </c>
      <c r="P301" s="23">
        <f t="shared" si="272"/>
        <v>0</v>
      </c>
      <c r="Q301" s="23">
        <f t="shared" si="272"/>
        <v>0</v>
      </c>
      <c r="R301" s="23">
        <f t="shared" si="272"/>
        <v>0</v>
      </c>
      <c r="S301" s="23">
        <f t="shared" si="272"/>
        <v>0</v>
      </c>
      <c r="T301" s="23">
        <f t="shared" si="272"/>
        <v>0</v>
      </c>
      <c r="U301" s="23">
        <f t="shared" si="272"/>
        <v>0</v>
      </c>
      <c r="V301" s="23">
        <f t="shared" si="272"/>
        <v>0</v>
      </c>
      <c r="W301" s="23">
        <f t="shared" si="272"/>
        <v>0</v>
      </c>
      <c r="X301" s="23">
        <f t="shared" si="272"/>
        <v>0</v>
      </c>
      <c r="Y301" s="23">
        <f t="shared" si="272"/>
        <v>0</v>
      </c>
      <c r="Z301" s="23">
        <f t="shared" si="272"/>
        <v>0</v>
      </c>
      <c r="AA301" s="23">
        <f t="shared" si="272"/>
        <v>0</v>
      </c>
      <c r="AB301" s="23">
        <f t="shared" si="272"/>
        <v>0</v>
      </c>
      <c r="AC301" s="23">
        <f t="shared" si="272"/>
        <v>0</v>
      </c>
      <c r="AD301" s="23">
        <f t="shared" si="272"/>
        <v>0</v>
      </c>
      <c r="AE301" s="23">
        <f t="shared" si="272"/>
        <v>0</v>
      </c>
      <c r="AF301" s="36"/>
      <c r="AG301" s="15"/>
      <c r="AH301" s="15"/>
      <c r="AI301" s="15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</row>
    <row r="302" spans="1:62" ht="18.75" x14ac:dyDescent="0.3">
      <c r="A302" s="22" t="s">
        <v>29</v>
      </c>
      <c r="B302" s="23">
        <f t="shared" ref="B302:Q305" si="273">B309</f>
        <v>6968.3200000000006</v>
      </c>
      <c r="C302" s="23">
        <f t="shared" si="273"/>
        <v>6968.3</v>
      </c>
      <c r="D302" s="23">
        <f t="shared" si="273"/>
        <v>6967.87</v>
      </c>
      <c r="E302" s="23">
        <f t="shared" si="273"/>
        <v>6967.87</v>
      </c>
      <c r="F302" s="24">
        <f>E302/B302*100</f>
        <v>99.993542202424678</v>
      </c>
      <c r="G302" s="24">
        <f>E302/C302*100</f>
        <v>99.993829197939235</v>
      </c>
      <c r="H302" s="23">
        <f t="shared" si="272"/>
        <v>0</v>
      </c>
      <c r="I302" s="23">
        <f t="shared" si="272"/>
        <v>0</v>
      </c>
      <c r="J302" s="23">
        <f t="shared" si="272"/>
        <v>4968.4000000000005</v>
      </c>
      <c r="K302" s="23">
        <f t="shared" si="272"/>
        <v>4955</v>
      </c>
      <c r="L302" s="23">
        <f t="shared" si="272"/>
        <v>1999.8999999999999</v>
      </c>
      <c r="M302" s="23">
        <f t="shared" si="272"/>
        <v>2035.7</v>
      </c>
      <c r="N302" s="23">
        <f t="shared" si="272"/>
        <v>0</v>
      </c>
      <c r="O302" s="23">
        <f t="shared" si="272"/>
        <v>-31.51</v>
      </c>
      <c r="P302" s="23">
        <f t="shared" si="272"/>
        <v>0</v>
      </c>
      <c r="Q302" s="23">
        <f t="shared" si="272"/>
        <v>8.68</v>
      </c>
      <c r="R302" s="23">
        <f t="shared" si="272"/>
        <v>0</v>
      </c>
      <c r="S302" s="23">
        <f t="shared" si="272"/>
        <v>0</v>
      </c>
      <c r="T302" s="23">
        <f t="shared" si="272"/>
        <v>0</v>
      </c>
      <c r="U302" s="23">
        <f t="shared" si="272"/>
        <v>0</v>
      </c>
      <c r="V302" s="23">
        <f t="shared" si="272"/>
        <v>0</v>
      </c>
      <c r="W302" s="23">
        <f t="shared" si="272"/>
        <v>0</v>
      </c>
      <c r="X302" s="23">
        <f t="shared" si="272"/>
        <v>0</v>
      </c>
      <c r="Y302" s="23">
        <f t="shared" si="272"/>
        <v>0</v>
      </c>
      <c r="Z302" s="23">
        <f t="shared" si="272"/>
        <v>0</v>
      </c>
      <c r="AA302" s="23">
        <f t="shared" si="272"/>
        <v>0</v>
      </c>
      <c r="AB302" s="23">
        <f t="shared" si="272"/>
        <v>0</v>
      </c>
      <c r="AC302" s="23">
        <f t="shared" si="272"/>
        <v>0</v>
      </c>
      <c r="AD302" s="23">
        <f t="shared" si="272"/>
        <v>0.02</v>
      </c>
      <c r="AE302" s="23">
        <f t="shared" si="272"/>
        <v>0</v>
      </c>
      <c r="AF302" s="36"/>
      <c r="AG302" s="15"/>
      <c r="AH302" s="15"/>
      <c r="AI302" s="15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</row>
    <row r="303" spans="1:62" ht="37.5" x14ac:dyDescent="0.3">
      <c r="A303" s="22" t="s">
        <v>44</v>
      </c>
      <c r="B303" s="23">
        <f>B310</f>
        <v>0</v>
      </c>
      <c r="C303" s="23">
        <f t="shared" si="273"/>
        <v>0</v>
      </c>
      <c r="D303" s="23">
        <f t="shared" si="273"/>
        <v>0</v>
      </c>
      <c r="E303" s="23">
        <f t="shared" si="273"/>
        <v>0</v>
      </c>
      <c r="F303" s="23" t="e">
        <f t="shared" si="273"/>
        <v>#DIV/0!</v>
      </c>
      <c r="G303" s="23" t="e">
        <f t="shared" si="273"/>
        <v>#DIV/0!</v>
      </c>
      <c r="H303" s="23">
        <f t="shared" si="273"/>
        <v>0</v>
      </c>
      <c r="I303" s="23">
        <f t="shared" si="273"/>
        <v>0</v>
      </c>
      <c r="J303" s="23">
        <f t="shared" si="273"/>
        <v>0</v>
      </c>
      <c r="K303" s="23">
        <f t="shared" si="273"/>
        <v>0</v>
      </c>
      <c r="L303" s="23">
        <f t="shared" si="273"/>
        <v>0</v>
      </c>
      <c r="M303" s="23">
        <f t="shared" si="273"/>
        <v>0</v>
      </c>
      <c r="N303" s="23">
        <f t="shared" si="273"/>
        <v>0</v>
      </c>
      <c r="O303" s="23">
        <f t="shared" si="273"/>
        <v>0</v>
      </c>
      <c r="P303" s="23">
        <f t="shared" si="273"/>
        <v>0</v>
      </c>
      <c r="Q303" s="23">
        <f t="shared" si="273"/>
        <v>0</v>
      </c>
      <c r="R303" s="23">
        <f t="shared" si="272"/>
        <v>0</v>
      </c>
      <c r="S303" s="23">
        <f t="shared" si="272"/>
        <v>0</v>
      </c>
      <c r="T303" s="23">
        <f t="shared" si="272"/>
        <v>0</v>
      </c>
      <c r="U303" s="23">
        <f t="shared" si="272"/>
        <v>0</v>
      </c>
      <c r="V303" s="23">
        <f t="shared" si="272"/>
        <v>0</v>
      </c>
      <c r="W303" s="23">
        <f t="shared" si="272"/>
        <v>0</v>
      </c>
      <c r="X303" s="23">
        <f t="shared" si="272"/>
        <v>0</v>
      </c>
      <c r="Y303" s="23">
        <f t="shared" si="272"/>
        <v>0</v>
      </c>
      <c r="Z303" s="23">
        <f t="shared" si="272"/>
        <v>0</v>
      </c>
      <c r="AA303" s="23">
        <f t="shared" si="272"/>
        <v>0</v>
      </c>
      <c r="AB303" s="23">
        <f t="shared" si="272"/>
        <v>0</v>
      </c>
      <c r="AC303" s="23">
        <f t="shared" si="272"/>
        <v>0</v>
      </c>
      <c r="AD303" s="23">
        <f t="shared" si="272"/>
        <v>0</v>
      </c>
      <c r="AE303" s="23">
        <f t="shared" si="272"/>
        <v>0</v>
      </c>
      <c r="AF303" s="36"/>
      <c r="AG303" s="15"/>
      <c r="AH303" s="15"/>
      <c r="AI303" s="15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</row>
    <row r="304" spans="1:62" ht="18.75" x14ac:dyDescent="0.3">
      <c r="A304" s="22" t="s">
        <v>30</v>
      </c>
      <c r="B304" s="23">
        <f t="shared" ref="B304:E305" si="274">B311</f>
        <v>0</v>
      </c>
      <c r="C304" s="23">
        <f>C311</f>
        <v>0</v>
      </c>
      <c r="D304" s="23">
        <f t="shared" si="274"/>
        <v>0</v>
      </c>
      <c r="E304" s="23">
        <f t="shared" si="274"/>
        <v>0</v>
      </c>
      <c r="F304" s="24"/>
      <c r="G304" s="24"/>
      <c r="H304" s="23">
        <f t="shared" si="273"/>
        <v>0</v>
      </c>
      <c r="I304" s="23">
        <f t="shared" si="273"/>
        <v>0</v>
      </c>
      <c r="J304" s="23">
        <f t="shared" si="273"/>
        <v>0</v>
      </c>
      <c r="K304" s="23">
        <f t="shared" si="273"/>
        <v>0</v>
      </c>
      <c r="L304" s="23">
        <f t="shared" si="273"/>
        <v>0</v>
      </c>
      <c r="M304" s="23">
        <f t="shared" si="273"/>
        <v>0</v>
      </c>
      <c r="N304" s="23">
        <f t="shared" si="273"/>
        <v>0</v>
      </c>
      <c r="O304" s="23">
        <f t="shared" si="273"/>
        <v>0</v>
      </c>
      <c r="P304" s="23">
        <f t="shared" si="273"/>
        <v>0</v>
      </c>
      <c r="Q304" s="23">
        <f t="shared" si="273"/>
        <v>0</v>
      </c>
      <c r="R304" s="23">
        <f t="shared" si="272"/>
        <v>0</v>
      </c>
      <c r="S304" s="23">
        <f t="shared" si="272"/>
        <v>0</v>
      </c>
      <c r="T304" s="23">
        <f t="shared" si="272"/>
        <v>0</v>
      </c>
      <c r="U304" s="23">
        <f t="shared" si="272"/>
        <v>0</v>
      </c>
      <c r="V304" s="23">
        <f t="shared" si="272"/>
        <v>0</v>
      </c>
      <c r="W304" s="23">
        <f t="shared" si="272"/>
        <v>0</v>
      </c>
      <c r="X304" s="23">
        <f t="shared" si="272"/>
        <v>0</v>
      </c>
      <c r="Y304" s="23">
        <f t="shared" si="272"/>
        <v>0</v>
      </c>
      <c r="Z304" s="23">
        <f t="shared" si="272"/>
        <v>0</v>
      </c>
      <c r="AA304" s="23">
        <f t="shared" si="272"/>
        <v>0</v>
      </c>
      <c r="AB304" s="23">
        <f t="shared" si="272"/>
        <v>0</v>
      </c>
      <c r="AC304" s="23">
        <f t="shared" si="272"/>
        <v>0</v>
      </c>
      <c r="AD304" s="23">
        <f t="shared" si="272"/>
        <v>0</v>
      </c>
      <c r="AE304" s="23">
        <f t="shared" si="272"/>
        <v>0</v>
      </c>
      <c r="AF304" s="36"/>
      <c r="AG304" s="15"/>
      <c r="AH304" s="15"/>
      <c r="AI304" s="15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</row>
    <row r="305" spans="1:62" ht="18.75" x14ac:dyDescent="0.3">
      <c r="A305" s="22" t="s">
        <v>31</v>
      </c>
      <c r="B305" s="23">
        <f t="shared" si="274"/>
        <v>0</v>
      </c>
      <c r="C305" s="23">
        <f t="shared" si="274"/>
        <v>0</v>
      </c>
      <c r="D305" s="23">
        <f t="shared" si="274"/>
        <v>0</v>
      </c>
      <c r="E305" s="23">
        <f t="shared" si="274"/>
        <v>0</v>
      </c>
      <c r="F305" s="24" t="e">
        <f t="shared" ref="F305" si="275">E305/B305*100</f>
        <v>#DIV/0!</v>
      </c>
      <c r="G305" s="24" t="e">
        <f t="shared" ref="G305" si="276">E305/C305*100</f>
        <v>#DIV/0!</v>
      </c>
      <c r="H305" s="23">
        <f t="shared" si="273"/>
        <v>0</v>
      </c>
      <c r="I305" s="23">
        <f t="shared" si="273"/>
        <v>0</v>
      </c>
      <c r="J305" s="23">
        <f t="shared" si="273"/>
        <v>0</v>
      </c>
      <c r="K305" s="23">
        <f t="shared" si="273"/>
        <v>0</v>
      </c>
      <c r="L305" s="23">
        <f t="shared" si="273"/>
        <v>0</v>
      </c>
      <c r="M305" s="23">
        <f t="shared" si="273"/>
        <v>0</v>
      </c>
      <c r="N305" s="23">
        <f t="shared" si="273"/>
        <v>0</v>
      </c>
      <c r="O305" s="23">
        <f t="shared" si="273"/>
        <v>0</v>
      </c>
      <c r="P305" s="23">
        <f t="shared" si="273"/>
        <v>0</v>
      </c>
      <c r="Q305" s="23">
        <f t="shared" si="273"/>
        <v>0</v>
      </c>
      <c r="R305" s="23">
        <f t="shared" si="272"/>
        <v>0</v>
      </c>
      <c r="S305" s="23">
        <f t="shared" si="272"/>
        <v>0</v>
      </c>
      <c r="T305" s="23">
        <f t="shared" si="272"/>
        <v>0</v>
      </c>
      <c r="U305" s="23">
        <f t="shared" si="272"/>
        <v>0</v>
      </c>
      <c r="V305" s="23">
        <f t="shared" si="272"/>
        <v>0</v>
      </c>
      <c r="W305" s="23">
        <f t="shared" si="272"/>
        <v>0</v>
      </c>
      <c r="X305" s="23">
        <f t="shared" si="272"/>
        <v>0</v>
      </c>
      <c r="Y305" s="23">
        <f t="shared" si="272"/>
        <v>0</v>
      </c>
      <c r="Z305" s="23">
        <f t="shared" si="272"/>
        <v>0</v>
      </c>
      <c r="AA305" s="23">
        <f t="shared" si="272"/>
        <v>0</v>
      </c>
      <c r="AB305" s="23">
        <f t="shared" si="272"/>
        <v>0</v>
      </c>
      <c r="AC305" s="23">
        <f t="shared" si="272"/>
        <v>0</v>
      </c>
      <c r="AD305" s="23">
        <f t="shared" si="272"/>
        <v>0</v>
      </c>
      <c r="AE305" s="23">
        <f t="shared" si="272"/>
        <v>0</v>
      </c>
      <c r="AF305" s="36"/>
      <c r="AG305" s="15"/>
      <c r="AH305" s="15"/>
      <c r="AI305" s="15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</row>
    <row r="306" spans="1:62" ht="18.75" x14ac:dyDescent="0.25">
      <c r="A306" s="105" t="s">
        <v>91</v>
      </c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7"/>
      <c r="AF306" s="36"/>
      <c r="AG306" s="15"/>
      <c r="AH306" s="15"/>
      <c r="AI306" s="15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</row>
    <row r="307" spans="1:62" ht="18.75" x14ac:dyDescent="0.25">
      <c r="A307" s="58" t="s">
        <v>27</v>
      </c>
      <c r="B307" s="13">
        <f t="shared" ref="B307:E307" si="277">B308+B309+B311+B312</f>
        <v>6968.3200000000006</v>
      </c>
      <c r="C307" s="13">
        <f t="shared" si="277"/>
        <v>6968.3</v>
      </c>
      <c r="D307" s="13">
        <f t="shared" si="277"/>
        <v>6967.87</v>
      </c>
      <c r="E307" s="13">
        <f t="shared" si="277"/>
        <v>6967.87</v>
      </c>
      <c r="F307" s="21">
        <f t="shared" ref="F307" si="278">E307/B307*100</f>
        <v>99.993542202424678</v>
      </c>
      <c r="G307" s="72">
        <f t="shared" ref="G307" si="279">E307/C307*100</f>
        <v>99.993829197939235</v>
      </c>
      <c r="H307" s="13">
        <f>H308+H309+H311+H312</f>
        <v>0</v>
      </c>
      <c r="I307" s="13">
        <f t="shared" ref="I307:AE307" si="280">I308+I309+I311+I312</f>
        <v>0</v>
      </c>
      <c r="J307" s="13">
        <f t="shared" si="280"/>
        <v>4968.4000000000005</v>
      </c>
      <c r="K307" s="13">
        <f t="shared" si="280"/>
        <v>4955</v>
      </c>
      <c r="L307" s="13">
        <f t="shared" si="280"/>
        <v>1999.8999999999999</v>
      </c>
      <c r="M307" s="13">
        <f t="shared" si="280"/>
        <v>2035.7</v>
      </c>
      <c r="N307" s="13">
        <f t="shared" si="280"/>
        <v>0</v>
      </c>
      <c r="O307" s="13">
        <f t="shared" si="280"/>
        <v>-31.51</v>
      </c>
      <c r="P307" s="13">
        <f t="shared" si="280"/>
        <v>0</v>
      </c>
      <c r="Q307" s="13">
        <f t="shared" si="280"/>
        <v>8.68</v>
      </c>
      <c r="R307" s="13">
        <f t="shared" si="280"/>
        <v>0</v>
      </c>
      <c r="S307" s="13">
        <f t="shared" si="280"/>
        <v>0</v>
      </c>
      <c r="T307" s="13">
        <f t="shared" si="280"/>
        <v>0</v>
      </c>
      <c r="U307" s="13">
        <f t="shared" si="280"/>
        <v>0</v>
      </c>
      <c r="V307" s="13">
        <f t="shared" si="280"/>
        <v>0</v>
      </c>
      <c r="W307" s="13">
        <f t="shared" si="280"/>
        <v>0</v>
      </c>
      <c r="X307" s="13">
        <f t="shared" si="280"/>
        <v>0</v>
      </c>
      <c r="Y307" s="13">
        <f t="shared" si="280"/>
        <v>0</v>
      </c>
      <c r="Z307" s="13">
        <f t="shared" si="280"/>
        <v>0</v>
      </c>
      <c r="AA307" s="13">
        <f t="shared" si="280"/>
        <v>0</v>
      </c>
      <c r="AB307" s="13">
        <f t="shared" si="280"/>
        <v>0</v>
      </c>
      <c r="AC307" s="13">
        <f t="shared" si="280"/>
        <v>0</v>
      </c>
      <c r="AD307" s="13">
        <f t="shared" si="280"/>
        <v>0.02</v>
      </c>
      <c r="AE307" s="13">
        <f t="shared" si="280"/>
        <v>0</v>
      </c>
      <c r="AF307" s="36"/>
      <c r="AG307" s="15"/>
      <c r="AH307" s="15"/>
      <c r="AI307" s="15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</row>
    <row r="308" spans="1:62" ht="18.75" x14ac:dyDescent="0.25">
      <c r="A308" s="59" t="s">
        <v>28</v>
      </c>
      <c r="B308" s="23">
        <f>H308+J308+L308+N308+P308+R308+T308+V308+X308+Z308+AB308+AD308</f>
        <v>0</v>
      </c>
      <c r="C308" s="23">
        <f>L308+N308+P308+R308+T308+V308+X308+Z308+J308+AB308</f>
        <v>0</v>
      </c>
      <c r="D308" s="23">
        <f>E308</f>
        <v>0</v>
      </c>
      <c r="E308" s="23">
        <f>I308+K308+M308+O308+Q308+S308+U308+W308+Y308+AA308+AC308+AE308</f>
        <v>0</v>
      </c>
      <c r="F308" s="24" t="e">
        <f>E308/B308*100</f>
        <v>#DIV/0!</v>
      </c>
      <c r="G308" s="24" t="e">
        <f>E308/C308*100</f>
        <v>#DIV/0!</v>
      </c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36"/>
      <c r="AG308" s="15"/>
      <c r="AH308" s="15"/>
      <c r="AI308" s="15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</row>
    <row r="309" spans="1:62" ht="37.5" x14ac:dyDescent="0.25">
      <c r="A309" s="59" t="s">
        <v>85</v>
      </c>
      <c r="B309" s="23">
        <f>H309+J309+L309+N309+P309+R309+T309+V309+X309+Z309+AB309+AD309</f>
        <v>6968.3200000000006</v>
      </c>
      <c r="C309" s="23">
        <f>L309+J309</f>
        <v>6968.3</v>
      </c>
      <c r="D309" s="23">
        <f>E309</f>
        <v>6967.87</v>
      </c>
      <c r="E309" s="30">
        <f>I309+K309+M309+O309+Q309+S309+U309+W309+Y309+AA309+AC309+AE309</f>
        <v>6967.87</v>
      </c>
      <c r="F309" s="24">
        <f t="shared" ref="F309" si="281">E309/B309*100</f>
        <v>99.993542202424678</v>
      </c>
      <c r="G309" s="93">
        <f t="shared" ref="G309" si="282">E309/C309*100</f>
        <v>99.993829197939235</v>
      </c>
      <c r="H309" s="13"/>
      <c r="I309" s="13"/>
      <c r="J309" s="23">
        <f>13.1+4955.3</f>
        <v>4968.4000000000005</v>
      </c>
      <c r="K309" s="23">
        <v>4955</v>
      </c>
      <c r="L309" s="23">
        <f>2031.3-31.4</f>
        <v>1999.8999999999999</v>
      </c>
      <c r="M309" s="23">
        <v>2035.7</v>
      </c>
      <c r="N309" s="23"/>
      <c r="O309" s="23">
        <v>-31.51</v>
      </c>
      <c r="P309" s="23"/>
      <c r="Q309" s="23">
        <v>8.68</v>
      </c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>
        <v>0.02</v>
      </c>
      <c r="AE309" s="23"/>
      <c r="AF309" s="36" t="s">
        <v>123</v>
      </c>
      <c r="AG309" s="15"/>
      <c r="AH309" s="15"/>
      <c r="AI309" s="15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</row>
    <row r="310" spans="1:62" ht="37.5" x14ac:dyDescent="0.25">
      <c r="A310" s="59" t="s">
        <v>44</v>
      </c>
      <c r="B310" s="23">
        <f>J310+L310+N310+P310+R310+T310+V310+X310+Z310+AB310+AD310</f>
        <v>0</v>
      </c>
      <c r="C310" s="23">
        <f>L310+N310+P310+R310+T310+V310+X310+Z310+J310+AB310</f>
        <v>0</v>
      </c>
      <c r="D310" s="23">
        <f>E310</f>
        <v>0</v>
      </c>
      <c r="E310" s="30">
        <f>I310+K310+M310+O310+Q310+S310+U310+W310+Y310+AA310+AC310+AE310</f>
        <v>0</v>
      </c>
      <c r="F310" s="24" t="e">
        <f>E310/B310*100</f>
        <v>#DIV/0!</v>
      </c>
      <c r="G310" s="24" t="e">
        <f>E310/C310*100</f>
        <v>#DIV/0!</v>
      </c>
      <c r="H310" s="13"/>
      <c r="I310" s="1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36"/>
      <c r="AG310" s="15"/>
      <c r="AH310" s="15"/>
      <c r="AI310" s="15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</row>
    <row r="311" spans="1:62" ht="18.75" x14ac:dyDescent="0.3">
      <c r="A311" s="22" t="s">
        <v>30</v>
      </c>
      <c r="B311" s="23">
        <f>H311+J311+L311+N311+P311+R311+T311+V311+X311+Z311+AB311+AD311</f>
        <v>0</v>
      </c>
      <c r="C311" s="23">
        <f>L311+N311+P311+R311+T311+V311+X311+Z311+J311</f>
        <v>0</v>
      </c>
      <c r="D311" s="46">
        <v>0</v>
      </c>
      <c r="E311" s="23">
        <f>I311+K311+M311+O311+Q311+S311+U311+W311+Y311+AA311+AC311+AE311</f>
        <v>0</v>
      </c>
      <c r="F311" s="56" t="e">
        <f>E311/B311*100</f>
        <v>#DIV/0!</v>
      </c>
      <c r="G311" s="56" t="e">
        <f>E311/C311*100</f>
        <v>#DIV/0!</v>
      </c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36"/>
      <c r="AG311" s="15"/>
      <c r="AH311" s="15"/>
      <c r="AI311" s="15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</row>
    <row r="312" spans="1:62" ht="18.75" x14ac:dyDescent="0.3">
      <c r="A312" s="22" t="s">
        <v>31</v>
      </c>
      <c r="B312" s="23">
        <f>R312+X312+Z312+T312+V312</f>
        <v>0</v>
      </c>
      <c r="C312" s="23">
        <f>L312+N312+P312+R312+T312+V312+X312</f>
        <v>0</v>
      </c>
      <c r="D312" s="23"/>
      <c r="E312" s="30">
        <f>I312+K312+M312+O312+Q312+S312+U312+W312+Y312+AA312+AC312+AE312</f>
        <v>0</v>
      </c>
      <c r="F312" s="24" t="e">
        <f>E312/B312*100</f>
        <v>#DIV/0!</v>
      </c>
      <c r="G312" s="24" t="e">
        <f>E312/C312*100</f>
        <v>#DIV/0!</v>
      </c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36"/>
      <c r="AG312" s="15"/>
      <c r="AH312" s="15"/>
      <c r="AI312" s="15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</row>
    <row r="313" spans="1:62" ht="60.75" x14ac:dyDescent="0.25">
      <c r="A313" s="98" t="s">
        <v>113</v>
      </c>
      <c r="B313" s="23"/>
      <c r="C313" s="23"/>
      <c r="D313" s="23"/>
      <c r="E313" s="30"/>
      <c r="F313" s="24"/>
      <c r="G313" s="24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13"/>
      <c r="AF313" s="36"/>
      <c r="AG313" s="15"/>
      <c r="AH313" s="15"/>
      <c r="AI313" s="15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</row>
    <row r="314" spans="1:62" ht="18.75" x14ac:dyDescent="0.3">
      <c r="A314" s="19" t="s">
        <v>27</v>
      </c>
      <c r="B314" s="13">
        <f>B315+B316+B318+B319</f>
        <v>0</v>
      </c>
      <c r="C314" s="13">
        <f>C315+C316+C318+C319</f>
        <v>0</v>
      </c>
      <c r="D314" s="13">
        <f>D315+D316+D318+D319</f>
        <v>0</v>
      </c>
      <c r="E314" s="13">
        <f>E315+E316+E318+E319</f>
        <v>0</v>
      </c>
      <c r="F314" s="21" t="e">
        <f>E314/B314*100</f>
        <v>#DIV/0!</v>
      </c>
      <c r="G314" s="21" t="e">
        <f>E314/C314*100</f>
        <v>#DIV/0!</v>
      </c>
      <c r="H314" s="13">
        <f t="shared" ref="H314:AC314" si="283">H315+H316+H318+H319</f>
        <v>0</v>
      </c>
      <c r="I314" s="13">
        <f t="shared" si="283"/>
        <v>0</v>
      </c>
      <c r="J314" s="13">
        <f t="shared" si="283"/>
        <v>0</v>
      </c>
      <c r="K314" s="13">
        <f t="shared" si="283"/>
        <v>0</v>
      </c>
      <c r="L314" s="13">
        <f t="shared" si="283"/>
        <v>0</v>
      </c>
      <c r="M314" s="13">
        <f t="shared" si="283"/>
        <v>0</v>
      </c>
      <c r="N314" s="13">
        <f t="shared" si="283"/>
        <v>0</v>
      </c>
      <c r="O314" s="13">
        <f t="shared" si="283"/>
        <v>0</v>
      </c>
      <c r="P314" s="13">
        <f t="shared" si="283"/>
        <v>0</v>
      </c>
      <c r="Q314" s="13">
        <f t="shared" si="283"/>
        <v>0</v>
      </c>
      <c r="R314" s="13">
        <f t="shared" si="283"/>
        <v>0</v>
      </c>
      <c r="S314" s="13">
        <f t="shared" si="283"/>
        <v>0</v>
      </c>
      <c r="T314" s="13">
        <f t="shared" si="283"/>
        <v>0</v>
      </c>
      <c r="U314" s="13">
        <f t="shared" si="283"/>
        <v>0</v>
      </c>
      <c r="V314" s="13">
        <f t="shared" si="283"/>
        <v>0</v>
      </c>
      <c r="W314" s="13">
        <f t="shared" si="283"/>
        <v>0</v>
      </c>
      <c r="X314" s="13">
        <f t="shared" si="283"/>
        <v>0</v>
      </c>
      <c r="Y314" s="13">
        <f t="shared" si="283"/>
        <v>0</v>
      </c>
      <c r="Z314" s="13">
        <f t="shared" si="283"/>
        <v>0</v>
      </c>
      <c r="AA314" s="13">
        <f t="shared" si="283"/>
        <v>0</v>
      </c>
      <c r="AB314" s="13">
        <f t="shared" si="283"/>
        <v>0</v>
      </c>
      <c r="AC314" s="13">
        <f t="shared" si="283"/>
        <v>0</v>
      </c>
      <c r="AD314" s="13">
        <f>AD315+AD316+AD318+AD319</f>
        <v>0</v>
      </c>
      <c r="AE314" s="13">
        <f t="shared" ref="AE314" si="284">AE315+AE316+AE318+AE319</f>
        <v>0</v>
      </c>
      <c r="AF314" s="36"/>
      <c r="AG314" s="15"/>
      <c r="AH314" s="15"/>
      <c r="AI314" s="15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</row>
    <row r="315" spans="1:62" ht="18.75" x14ac:dyDescent="0.3">
      <c r="A315" s="22" t="s">
        <v>28</v>
      </c>
      <c r="B315" s="23">
        <f>H315+J315+L315+N315+P315+R315+T315+V315+X315+Z315+AB315+AD315</f>
        <v>0</v>
      </c>
      <c r="C315" s="23">
        <f>L315+N315+P315+R315+T315+V315+X315+Z315+J315+AB315</f>
        <v>0</v>
      </c>
      <c r="D315" s="23">
        <f>E315</f>
        <v>0</v>
      </c>
      <c r="E315" s="23">
        <f>I315+K315+M315+O315+Q315+S315+U315+W315+Y315+AA315+AC315+AE315</f>
        <v>0</v>
      </c>
      <c r="F315" s="24" t="e">
        <f>E315/B315*100</f>
        <v>#DIV/0!</v>
      </c>
      <c r="G315" s="24" t="e">
        <f>E315/C315*100</f>
        <v>#DIV/0!</v>
      </c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36"/>
      <c r="AG315" s="15"/>
      <c r="AH315" s="15"/>
      <c r="AI315" s="15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</row>
    <row r="316" spans="1:62" ht="18.75" x14ac:dyDescent="0.3">
      <c r="A316" s="22" t="s">
        <v>29</v>
      </c>
      <c r="B316" s="23">
        <f>H316+J316+L316+N316+P316+R316+T316+V316+X316+Z316+AB316+AD316</f>
        <v>0</v>
      </c>
      <c r="C316" s="23">
        <f>L316+J316</f>
        <v>0</v>
      </c>
      <c r="D316" s="23">
        <f>E316</f>
        <v>0</v>
      </c>
      <c r="E316" s="30">
        <f>I316+K316+M316+O316+Q316+S316+U316+W316+Y316+AA316+AC316+AE316</f>
        <v>0</v>
      </c>
      <c r="F316" s="24" t="e">
        <f>E316/B316*100</f>
        <v>#DIV/0!</v>
      </c>
      <c r="G316" s="24" t="e">
        <f>E316/C316*100</f>
        <v>#DIV/0!</v>
      </c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36"/>
      <c r="AG316" s="15"/>
      <c r="AH316" s="15"/>
      <c r="AI316" s="15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</row>
    <row r="317" spans="1:62" ht="37.5" x14ac:dyDescent="0.3">
      <c r="A317" s="22" t="s">
        <v>44</v>
      </c>
      <c r="B317" s="23">
        <f>J317+L317+N317+P317+R317+T317+V317+X317+Z317+AB317+AD317</f>
        <v>0</v>
      </c>
      <c r="C317" s="23">
        <f>L317+N317+P317+R317+T317+V317+X317+Z317+J317+AB317</f>
        <v>0</v>
      </c>
      <c r="D317" s="23">
        <f>E317</f>
        <v>0</v>
      </c>
      <c r="E317" s="30">
        <f>I317+K317+M317+O317+Q317+S317+U317+W317+Y317+AA317+AC317+AE317</f>
        <v>0</v>
      </c>
      <c r="F317" s="24" t="e">
        <f>E317/B317*100</f>
        <v>#DIV/0!</v>
      </c>
      <c r="G317" s="24" t="e">
        <f>E317/C317*100</f>
        <v>#DIV/0!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36"/>
      <c r="AG317" s="15"/>
      <c r="AH317" s="15"/>
      <c r="AI317" s="15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</row>
    <row r="318" spans="1:62" ht="18.75" x14ac:dyDescent="0.3">
      <c r="A318" s="22" t="s">
        <v>30</v>
      </c>
      <c r="B318" s="23">
        <f>H318+J318+L318+N318+P318+R318+T318+V318+X318+Z318+AB318+AD318</f>
        <v>0</v>
      </c>
      <c r="C318" s="23">
        <f>L318+N318+P318+R318+T318+V318+X318+Z318+J318</f>
        <v>0</v>
      </c>
      <c r="D318" s="46">
        <v>0</v>
      </c>
      <c r="E318" s="23">
        <f>I318+K318+M318+O318+Q318+S318+U318+W318+Y318+AA318+AC318+AE318</f>
        <v>0</v>
      </c>
      <c r="F318" s="24"/>
      <c r="G318" s="24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36"/>
      <c r="AG318" s="15"/>
      <c r="AH318" s="15"/>
      <c r="AI318" s="15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</row>
    <row r="319" spans="1:62" ht="18.75" x14ac:dyDescent="0.3">
      <c r="A319" s="22" t="s">
        <v>31</v>
      </c>
      <c r="B319" s="23">
        <f>R319+X319+Z319+T319+V319</f>
        <v>0</v>
      </c>
      <c r="C319" s="23">
        <f>L319+N319+P319+R319+T319+V319+X319</f>
        <v>0</v>
      </c>
      <c r="D319" s="23"/>
      <c r="E319" s="30">
        <f>I319+K319+M319+O319+Q319+S319+U319+W319+Y319+AA319+AC319+AE319</f>
        <v>0</v>
      </c>
      <c r="F319" s="24" t="e">
        <f t="shared" ref="F319" si="285">E319/B319*100</f>
        <v>#DIV/0!</v>
      </c>
      <c r="G319" s="24" t="e">
        <f t="shared" ref="G319" si="286">E319/C319*100</f>
        <v>#DIV/0!</v>
      </c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36"/>
      <c r="AG319" s="15"/>
      <c r="AH319" s="15"/>
      <c r="AI319" s="15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</row>
    <row r="320" spans="1:62" ht="56.25" x14ac:dyDescent="0.25">
      <c r="A320" s="58" t="s">
        <v>92</v>
      </c>
      <c r="B320" s="51"/>
      <c r="C320" s="13"/>
      <c r="D320" s="13"/>
      <c r="E320" s="51"/>
      <c r="F320" s="51"/>
      <c r="G320" s="51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45"/>
      <c r="AG320" s="15"/>
      <c r="AH320" s="15"/>
      <c r="AI320" s="15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</row>
    <row r="321" spans="1:62" ht="18.75" x14ac:dyDescent="0.3">
      <c r="A321" s="19" t="s">
        <v>27</v>
      </c>
      <c r="B321" s="13">
        <f>B322+B323+B325+B326</f>
        <v>424625.22000000003</v>
      </c>
      <c r="C321" s="13">
        <f>C322+C323+C325+C326</f>
        <v>364920.8</v>
      </c>
      <c r="D321" s="13">
        <f t="shared" ref="D321" si="287">D322+D323+D325+D326</f>
        <v>319080.57</v>
      </c>
      <c r="E321" s="13">
        <f>E322+E323+E325+E326</f>
        <v>309080.57</v>
      </c>
      <c r="F321" s="21">
        <f>E321/B321*100</f>
        <v>72.789027933856588</v>
      </c>
      <c r="G321" s="21">
        <f>E321/C321*100</f>
        <v>84.697986522006971</v>
      </c>
      <c r="H321" s="13">
        <f>H322+H323+H325+H326</f>
        <v>20656.5</v>
      </c>
      <c r="I321" s="13">
        <f t="shared" ref="I321:AE321" si="288">I322+I323+I325+I326</f>
        <v>11880.8</v>
      </c>
      <c r="J321" s="13">
        <f t="shared" si="288"/>
        <v>32076.2</v>
      </c>
      <c r="K321" s="13">
        <f t="shared" si="288"/>
        <v>17178.999999999996</v>
      </c>
      <c r="L321" s="13">
        <f t="shared" si="288"/>
        <v>29398.600000000002</v>
      </c>
      <c r="M321" s="13">
        <f t="shared" si="288"/>
        <v>16971.2</v>
      </c>
      <c r="N321" s="13">
        <f t="shared" si="288"/>
        <v>53859.5</v>
      </c>
      <c r="O321" s="13">
        <f t="shared" si="288"/>
        <v>28854.09</v>
      </c>
      <c r="P321" s="13">
        <f t="shared" si="288"/>
        <v>44724</v>
      </c>
      <c r="Q321" s="13">
        <f t="shared" si="288"/>
        <v>55508.479999999996</v>
      </c>
      <c r="R321" s="13">
        <f t="shared" si="288"/>
        <v>31509.5</v>
      </c>
      <c r="S321" s="13">
        <f t="shared" si="288"/>
        <v>27884.999999999996</v>
      </c>
      <c r="T321" s="13">
        <f t="shared" si="288"/>
        <v>48351.000000000015</v>
      </c>
      <c r="U321" s="13">
        <f t="shared" si="288"/>
        <v>22317</v>
      </c>
      <c r="V321" s="13">
        <f t="shared" si="288"/>
        <v>40497.5</v>
      </c>
      <c r="W321" s="13">
        <f t="shared" si="288"/>
        <v>60901.599999999999</v>
      </c>
      <c r="X321" s="13">
        <f t="shared" si="288"/>
        <v>39106.5</v>
      </c>
      <c r="Y321" s="13">
        <f t="shared" si="288"/>
        <v>38756.899999999994</v>
      </c>
      <c r="Z321" s="13">
        <f t="shared" si="288"/>
        <v>27003.5</v>
      </c>
      <c r="AA321" s="13">
        <f t="shared" si="288"/>
        <v>28826.5</v>
      </c>
      <c r="AB321" s="13">
        <f t="shared" si="288"/>
        <v>36389.9</v>
      </c>
      <c r="AC321" s="13">
        <f t="shared" si="288"/>
        <v>0</v>
      </c>
      <c r="AD321" s="13">
        <f t="shared" si="288"/>
        <v>21052.519999999997</v>
      </c>
      <c r="AE321" s="13">
        <f t="shared" si="288"/>
        <v>0</v>
      </c>
      <c r="AF321" s="45"/>
      <c r="AG321" s="15"/>
      <c r="AH321" s="15"/>
      <c r="AI321" s="15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</row>
    <row r="322" spans="1:62" ht="18.75" x14ac:dyDescent="0.3">
      <c r="A322" s="19" t="s">
        <v>28</v>
      </c>
      <c r="B322" s="55">
        <f t="shared" ref="B322:E323" si="289">B301+B266+B246+B222+B315</f>
        <v>144061.29999999999</v>
      </c>
      <c r="C322" s="55">
        <f t="shared" si="289"/>
        <v>114776.79999999999</v>
      </c>
      <c r="D322" s="55">
        <f t="shared" si="289"/>
        <v>86137.400000000009</v>
      </c>
      <c r="E322" s="55">
        <f t="shared" si="289"/>
        <v>86137.400000000009</v>
      </c>
      <c r="F322" s="21">
        <f>E322/B322*100</f>
        <v>59.792185687620488</v>
      </c>
      <c r="G322" s="21">
        <f>E322/C322*100</f>
        <v>75.047744840420734</v>
      </c>
      <c r="H322" s="55">
        <f>H301+H266+H246+H222+H315</f>
        <v>11764</v>
      </c>
      <c r="I322" s="55">
        <f t="shared" ref="I322:AE323" si="290">I301+I266+I246+I222+I315</f>
        <v>3000</v>
      </c>
      <c r="J322" s="55">
        <f t="shared" si="290"/>
        <v>16317.5</v>
      </c>
      <c r="K322" s="55">
        <f t="shared" si="290"/>
        <v>8199.9</v>
      </c>
      <c r="L322" s="55">
        <f t="shared" si="290"/>
        <v>15931.5</v>
      </c>
      <c r="M322" s="55">
        <f t="shared" si="290"/>
        <v>7824.7</v>
      </c>
      <c r="N322" s="55">
        <f t="shared" si="290"/>
        <v>15927.5</v>
      </c>
      <c r="O322" s="55">
        <f t="shared" si="290"/>
        <v>16956.900000000001</v>
      </c>
      <c r="P322" s="55">
        <f t="shared" si="290"/>
        <v>19644.3</v>
      </c>
      <c r="Q322" s="55">
        <f t="shared" si="290"/>
        <v>12395.6</v>
      </c>
      <c r="R322" s="55">
        <f t="shared" si="290"/>
        <v>9553.9</v>
      </c>
      <c r="S322" s="55">
        <f t="shared" si="290"/>
        <v>8968.7999999999993</v>
      </c>
      <c r="T322" s="55">
        <f t="shared" si="290"/>
        <v>0</v>
      </c>
      <c r="U322" s="55">
        <f t="shared" si="290"/>
        <v>0</v>
      </c>
      <c r="V322" s="55">
        <f t="shared" si="290"/>
        <v>0</v>
      </c>
      <c r="W322" s="55">
        <f t="shared" si="290"/>
        <v>0</v>
      </c>
      <c r="X322" s="55">
        <f t="shared" si="290"/>
        <v>10995.9</v>
      </c>
      <c r="Y322" s="55">
        <f t="shared" si="290"/>
        <v>10211.4</v>
      </c>
      <c r="Z322" s="55">
        <f t="shared" si="290"/>
        <v>16120</v>
      </c>
      <c r="AA322" s="55">
        <f t="shared" si="290"/>
        <v>18580.099999999999</v>
      </c>
      <c r="AB322" s="55">
        <f t="shared" si="290"/>
        <v>15442.9</v>
      </c>
      <c r="AC322" s="55">
        <f t="shared" si="290"/>
        <v>0</v>
      </c>
      <c r="AD322" s="55">
        <f t="shared" si="290"/>
        <v>12363.8</v>
      </c>
      <c r="AE322" s="55">
        <f t="shared" si="290"/>
        <v>0</v>
      </c>
      <c r="AF322" s="45"/>
      <c r="AG322" s="15"/>
      <c r="AH322" s="15"/>
      <c r="AI322" s="15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</row>
    <row r="323" spans="1:62" ht="18.75" x14ac:dyDescent="0.3">
      <c r="A323" s="19" t="s">
        <v>29</v>
      </c>
      <c r="B323" s="55">
        <f t="shared" si="289"/>
        <v>190078.22000000003</v>
      </c>
      <c r="C323" s="55">
        <f t="shared" si="289"/>
        <v>173820.2</v>
      </c>
      <c r="D323" s="55">
        <f t="shared" si="289"/>
        <v>149357.16999999998</v>
      </c>
      <c r="E323" s="55">
        <f t="shared" si="289"/>
        <v>149357.16999999998</v>
      </c>
      <c r="F323" s="21">
        <f>E323/B323*100</f>
        <v>78.576688060315362</v>
      </c>
      <c r="G323" s="21">
        <f>E323/C323*100</f>
        <v>85.926244475613288</v>
      </c>
      <c r="H323" s="55">
        <f>H302+H267+H247+H223+H316</f>
        <v>7924.5999999999995</v>
      </c>
      <c r="I323" s="55">
        <f t="shared" si="290"/>
        <v>7912.9</v>
      </c>
      <c r="J323" s="55">
        <f t="shared" si="290"/>
        <v>13919.8</v>
      </c>
      <c r="K323" s="55">
        <f t="shared" si="290"/>
        <v>8922.7999999999993</v>
      </c>
      <c r="L323" s="55">
        <f t="shared" si="290"/>
        <v>11628.2</v>
      </c>
      <c r="M323" s="55">
        <f t="shared" si="290"/>
        <v>8471.6</v>
      </c>
      <c r="N323" s="55">
        <f t="shared" si="290"/>
        <v>11093.1</v>
      </c>
      <c r="O323" s="55">
        <f t="shared" si="290"/>
        <v>10278.689999999999</v>
      </c>
      <c r="P323" s="55">
        <f t="shared" si="290"/>
        <v>23627.9</v>
      </c>
      <c r="Q323" s="55">
        <f t="shared" si="290"/>
        <v>16774.580000000002</v>
      </c>
      <c r="R323" s="55">
        <f t="shared" si="290"/>
        <v>13971.7</v>
      </c>
      <c r="S323" s="55">
        <f t="shared" si="290"/>
        <v>10462.4</v>
      </c>
      <c r="T323" s="55">
        <f t="shared" si="290"/>
        <v>44814.200000000012</v>
      </c>
      <c r="U323" s="55">
        <f t="shared" si="290"/>
        <v>18780.2</v>
      </c>
      <c r="V323" s="55">
        <f t="shared" si="290"/>
        <v>33022.6</v>
      </c>
      <c r="W323" s="55">
        <f t="shared" si="290"/>
        <v>53426.7</v>
      </c>
      <c r="X323" s="55">
        <f t="shared" si="290"/>
        <v>5557.7</v>
      </c>
      <c r="Y323" s="55">
        <f t="shared" si="290"/>
        <v>6024.2999999999993</v>
      </c>
      <c r="Z323" s="55">
        <f t="shared" si="290"/>
        <v>9044.5999999999985</v>
      </c>
      <c r="AA323" s="55">
        <f t="shared" si="290"/>
        <v>8303</v>
      </c>
      <c r="AB323" s="55">
        <f t="shared" si="290"/>
        <v>9301.6</v>
      </c>
      <c r="AC323" s="55">
        <f t="shared" si="290"/>
        <v>0</v>
      </c>
      <c r="AD323" s="55">
        <f t="shared" si="290"/>
        <v>6172.2199999999993</v>
      </c>
      <c r="AE323" s="55">
        <f t="shared" si="290"/>
        <v>0</v>
      </c>
      <c r="AF323" s="45"/>
      <c r="AG323" s="15"/>
      <c r="AH323" s="15"/>
      <c r="AI323" s="15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</row>
    <row r="324" spans="1:62" ht="37.5" x14ac:dyDescent="0.3">
      <c r="A324" s="19" t="s">
        <v>44</v>
      </c>
      <c r="B324" s="55">
        <f t="shared" ref="B324:E324" si="291">B303+B268+B248+B317</f>
        <v>1872.2000000000003</v>
      </c>
      <c r="C324" s="55">
        <f t="shared" si="291"/>
        <v>1369.0000000000002</v>
      </c>
      <c r="D324" s="55">
        <f t="shared" si="291"/>
        <v>1038.0999999999999</v>
      </c>
      <c r="E324" s="55">
        <f t="shared" si="291"/>
        <v>1038.0999999999999</v>
      </c>
      <c r="F324" s="21">
        <f t="shared" ref="F324:F326" si="292">E324/B324*100</f>
        <v>55.448135882918479</v>
      </c>
      <c r="G324" s="21">
        <f t="shared" ref="G324:G326" si="293">E324/C324*100</f>
        <v>75.82907231555879</v>
      </c>
      <c r="H324" s="55">
        <f>H303+H268+H248+H317</f>
        <v>117</v>
      </c>
      <c r="I324" s="55">
        <f t="shared" ref="I324:AE324" si="294">I303+I268+I248+I317</f>
        <v>117</v>
      </c>
      <c r="J324" s="55">
        <f t="shared" si="294"/>
        <v>222.3</v>
      </c>
      <c r="K324" s="55">
        <f t="shared" si="294"/>
        <v>6.8</v>
      </c>
      <c r="L324" s="55">
        <f t="shared" si="294"/>
        <v>222.3</v>
      </c>
      <c r="M324" s="55">
        <f t="shared" si="294"/>
        <v>81.599999999999994</v>
      </c>
      <c r="N324" s="55">
        <f t="shared" si="294"/>
        <v>222.3</v>
      </c>
      <c r="O324" s="55">
        <f t="shared" si="294"/>
        <v>195.6</v>
      </c>
      <c r="P324" s="55">
        <f t="shared" si="294"/>
        <v>175.5</v>
      </c>
      <c r="Q324" s="55">
        <f t="shared" si="294"/>
        <v>161.9</v>
      </c>
      <c r="R324" s="55">
        <f t="shared" si="294"/>
        <v>58.5</v>
      </c>
      <c r="S324" s="55">
        <f t="shared" si="294"/>
        <v>115.3</v>
      </c>
      <c r="T324" s="55">
        <f t="shared" si="294"/>
        <v>0</v>
      </c>
      <c r="U324" s="55">
        <f t="shared" si="294"/>
        <v>0</v>
      </c>
      <c r="V324" s="55">
        <f t="shared" si="294"/>
        <v>0</v>
      </c>
      <c r="W324" s="55">
        <f t="shared" si="294"/>
        <v>0</v>
      </c>
      <c r="X324" s="55">
        <f t="shared" si="294"/>
        <v>128.69999999999999</v>
      </c>
      <c r="Y324" s="55">
        <f t="shared" si="294"/>
        <v>124.9</v>
      </c>
      <c r="Z324" s="55">
        <f t="shared" si="294"/>
        <v>222.4</v>
      </c>
      <c r="AA324" s="55">
        <f t="shared" si="294"/>
        <v>235</v>
      </c>
      <c r="AB324" s="55">
        <f t="shared" si="294"/>
        <v>198.9</v>
      </c>
      <c r="AC324" s="55">
        <f t="shared" si="294"/>
        <v>0</v>
      </c>
      <c r="AD324" s="55">
        <f t="shared" si="294"/>
        <v>304.3</v>
      </c>
      <c r="AE324" s="55">
        <f t="shared" si="294"/>
        <v>0</v>
      </c>
      <c r="AF324" s="45"/>
      <c r="AG324" s="15"/>
      <c r="AH324" s="15"/>
      <c r="AI324" s="15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</row>
    <row r="325" spans="1:62" ht="18.75" x14ac:dyDescent="0.3">
      <c r="A325" s="19" t="s">
        <v>30</v>
      </c>
      <c r="B325" s="55">
        <f t="shared" ref="B325:E326" si="295">B304+B269+B249+B224+B318</f>
        <v>15485.7</v>
      </c>
      <c r="C325" s="55">
        <f t="shared" si="295"/>
        <v>11323.800000000001</v>
      </c>
      <c r="D325" s="55">
        <f t="shared" si="295"/>
        <v>8586</v>
      </c>
      <c r="E325" s="55">
        <f t="shared" si="295"/>
        <v>8586</v>
      </c>
      <c r="F325" s="21">
        <f t="shared" si="292"/>
        <v>55.444700594742244</v>
      </c>
      <c r="G325" s="21">
        <f t="shared" si="293"/>
        <v>75.822603719599428</v>
      </c>
      <c r="H325" s="55">
        <f>H304+H269+H249+H224+H318</f>
        <v>967.9</v>
      </c>
      <c r="I325" s="55">
        <f t="shared" ref="I325:AE326" si="296">I304+I269+I249+I224+I318</f>
        <v>967.9</v>
      </c>
      <c r="J325" s="55">
        <f t="shared" si="296"/>
        <v>1838.9</v>
      </c>
      <c r="K325" s="55">
        <f t="shared" si="296"/>
        <v>56.3</v>
      </c>
      <c r="L325" s="55">
        <f t="shared" si="296"/>
        <v>1838.9</v>
      </c>
      <c r="M325" s="55">
        <f t="shared" si="296"/>
        <v>674.9</v>
      </c>
      <c r="N325" s="55">
        <f t="shared" si="296"/>
        <v>1838.9</v>
      </c>
      <c r="O325" s="55">
        <f t="shared" si="296"/>
        <v>1618.5</v>
      </c>
      <c r="P325" s="55">
        <f t="shared" si="296"/>
        <v>1451.8</v>
      </c>
      <c r="Q325" s="55">
        <f t="shared" si="296"/>
        <v>1338.3</v>
      </c>
      <c r="R325" s="55">
        <f t="shared" si="296"/>
        <v>483.9</v>
      </c>
      <c r="S325" s="55">
        <f t="shared" si="296"/>
        <v>953.8</v>
      </c>
      <c r="T325" s="55">
        <f t="shared" si="296"/>
        <v>0</v>
      </c>
      <c r="U325" s="55">
        <f t="shared" si="296"/>
        <v>0</v>
      </c>
      <c r="V325" s="55">
        <f t="shared" si="296"/>
        <v>0</v>
      </c>
      <c r="W325" s="55">
        <f t="shared" si="296"/>
        <v>0</v>
      </c>
      <c r="X325" s="55">
        <f t="shared" si="296"/>
        <v>1064.5999999999999</v>
      </c>
      <c r="Y325" s="55">
        <f t="shared" si="296"/>
        <v>1032.9000000000001</v>
      </c>
      <c r="Z325" s="55">
        <f t="shared" si="296"/>
        <v>1838.9</v>
      </c>
      <c r="AA325" s="55">
        <f t="shared" si="296"/>
        <v>1943.4</v>
      </c>
      <c r="AB325" s="55">
        <f t="shared" si="296"/>
        <v>1645.4</v>
      </c>
      <c r="AC325" s="55">
        <f t="shared" si="296"/>
        <v>0</v>
      </c>
      <c r="AD325" s="55">
        <f t="shared" si="296"/>
        <v>2516.5</v>
      </c>
      <c r="AE325" s="55">
        <f t="shared" si="296"/>
        <v>0</v>
      </c>
      <c r="AF325" s="45"/>
      <c r="AG325" s="15"/>
      <c r="AH325" s="15"/>
      <c r="AI325" s="15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</row>
    <row r="326" spans="1:62" ht="18.75" x14ac:dyDescent="0.3">
      <c r="A326" s="19" t="s">
        <v>31</v>
      </c>
      <c r="B326" s="55">
        <f t="shared" si="295"/>
        <v>75000</v>
      </c>
      <c r="C326" s="55">
        <f t="shared" si="295"/>
        <v>65000</v>
      </c>
      <c r="D326" s="55">
        <f t="shared" si="295"/>
        <v>75000</v>
      </c>
      <c r="E326" s="55">
        <f t="shared" si="295"/>
        <v>65000</v>
      </c>
      <c r="F326" s="21">
        <f t="shared" si="292"/>
        <v>86.666666666666671</v>
      </c>
      <c r="G326" s="21">
        <f t="shared" si="293"/>
        <v>100</v>
      </c>
      <c r="H326" s="55">
        <f>H305+H270+H250+H225+H319</f>
        <v>0</v>
      </c>
      <c r="I326" s="55">
        <f t="shared" si="296"/>
        <v>0</v>
      </c>
      <c r="J326" s="55">
        <f t="shared" si="296"/>
        <v>0</v>
      </c>
      <c r="K326" s="55">
        <f t="shared" si="296"/>
        <v>0</v>
      </c>
      <c r="L326" s="55">
        <f t="shared" si="296"/>
        <v>0</v>
      </c>
      <c r="M326" s="55">
        <f t="shared" si="296"/>
        <v>0</v>
      </c>
      <c r="N326" s="55">
        <f t="shared" si="296"/>
        <v>25000</v>
      </c>
      <c r="O326" s="55">
        <f t="shared" si="296"/>
        <v>0</v>
      </c>
      <c r="P326" s="55">
        <f t="shared" si="296"/>
        <v>0</v>
      </c>
      <c r="Q326" s="55">
        <f t="shared" si="296"/>
        <v>25000</v>
      </c>
      <c r="R326" s="55">
        <f t="shared" si="296"/>
        <v>7500</v>
      </c>
      <c r="S326" s="55">
        <f t="shared" si="296"/>
        <v>7500</v>
      </c>
      <c r="T326" s="55">
        <f t="shared" si="296"/>
        <v>3536.8</v>
      </c>
      <c r="U326" s="55">
        <f t="shared" si="296"/>
        <v>3536.8</v>
      </c>
      <c r="V326" s="55">
        <f t="shared" si="296"/>
        <v>7474.9</v>
      </c>
      <c r="W326" s="55">
        <f t="shared" si="296"/>
        <v>7474.9</v>
      </c>
      <c r="X326" s="55">
        <f t="shared" si="296"/>
        <v>21488.3</v>
      </c>
      <c r="Y326" s="55">
        <f t="shared" si="296"/>
        <v>21488.3</v>
      </c>
      <c r="Z326" s="55">
        <f t="shared" si="296"/>
        <v>0</v>
      </c>
      <c r="AA326" s="55">
        <f t="shared" si="296"/>
        <v>0</v>
      </c>
      <c r="AB326" s="55">
        <f t="shared" si="296"/>
        <v>10000</v>
      </c>
      <c r="AC326" s="55">
        <f t="shared" si="296"/>
        <v>0</v>
      </c>
      <c r="AD326" s="55">
        <f t="shared" si="296"/>
        <v>0</v>
      </c>
      <c r="AE326" s="55">
        <f t="shared" si="296"/>
        <v>0</v>
      </c>
      <c r="AF326" s="45"/>
      <c r="AG326" s="15"/>
      <c r="AH326" s="15"/>
      <c r="AI326" s="15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</row>
    <row r="327" spans="1:62" ht="18.75" x14ac:dyDescent="0.3">
      <c r="A327" s="22"/>
      <c r="B327" s="46"/>
      <c r="C327" s="46"/>
      <c r="D327" s="46"/>
      <c r="E327" s="46"/>
      <c r="F327" s="46"/>
      <c r="G327" s="4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01"/>
      <c r="AG327" s="15"/>
      <c r="AH327" s="15"/>
      <c r="AI327" s="15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</row>
    <row r="328" spans="1:62" ht="18.75" x14ac:dyDescent="0.25">
      <c r="A328" s="63" t="s">
        <v>93</v>
      </c>
      <c r="B328" s="13">
        <f>B329+B330+B332+B333</f>
        <v>2826816.49</v>
      </c>
      <c r="C328" s="13">
        <f>C329+C330+C332+C333</f>
        <v>2341514.27</v>
      </c>
      <c r="D328" s="13">
        <f>D329+D330+D332+D333</f>
        <v>2190072.9</v>
      </c>
      <c r="E328" s="13">
        <f>E329+E330+E332+E333</f>
        <v>2180072.9</v>
      </c>
      <c r="F328" s="21">
        <f t="shared" ref="F328:F333" si="297">E328/B328*100</f>
        <v>77.121132825993939</v>
      </c>
      <c r="G328" s="21">
        <f>E328/C328*100</f>
        <v>93.105257906457254</v>
      </c>
      <c r="H328" s="13">
        <f>H329+H330+H332+H333</f>
        <v>180717.5</v>
      </c>
      <c r="I328" s="13">
        <f t="shared" ref="I328:AE328" si="298">I329+I330+I332+I333</f>
        <v>164847.6</v>
      </c>
      <c r="J328" s="13">
        <f t="shared" si="298"/>
        <v>301654.10000000003</v>
      </c>
      <c r="K328" s="13">
        <f t="shared" si="298"/>
        <v>274947.8</v>
      </c>
      <c r="L328" s="13">
        <f t="shared" si="298"/>
        <v>243922.30000000002</v>
      </c>
      <c r="M328" s="13">
        <f t="shared" si="298"/>
        <v>236304.40000000002</v>
      </c>
      <c r="N328" s="13">
        <f t="shared" si="298"/>
        <v>270273.90000000002</v>
      </c>
      <c r="O328" s="13">
        <f t="shared" si="298"/>
        <v>237597.18999999997</v>
      </c>
      <c r="P328" s="13">
        <f t="shared" si="298"/>
        <v>443452.24</v>
      </c>
      <c r="Q328" s="13">
        <f t="shared" si="298"/>
        <v>439039.38</v>
      </c>
      <c r="R328" s="13">
        <f t="shared" si="298"/>
        <v>243870.13</v>
      </c>
      <c r="S328" s="13">
        <f t="shared" si="298"/>
        <v>168451.1</v>
      </c>
      <c r="T328" s="13">
        <f t="shared" si="298"/>
        <v>205295</v>
      </c>
      <c r="U328" s="13">
        <f t="shared" si="298"/>
        <v>252822.25</v>
      </c>
      <c r="V328" s="13">
        <f t="shared" si="298"/>
        <v>145447.09999999998</v>
      </c>
      <c r="W328" s="13">
        <f t="shared" si="298"/>
        <v>115938.49999999999</v>
      </c>
      <c r="X328" s="13">
        <f t="shared" si="298"/>
        <v>180178.4</v>
      </c>
      <c r="Y328" s="13">
        <f t="shared" si="298"/>
        <v>175906.83999999997</v>
      </c>
      <c r="Z328" s="13">
        <f t="shared" si="298"/>
        <v>176122.30000000005</v>
      </c>
      <c r="AA328" s="13">
        <f t="shared" si="298"/>
        <v>120146.53999999998</v>
      </c>
      <c r="AB328" s="13">
        <f t="shared" si="298"/>
        <v>300444.29999999993</v>
      </c>
      <c r="AC328" s="13">
        <f t="shared" si="298"/>
        <v>0</v>
      </c>
      <c r="AD328" s="13">
        <f t="shared" si="298"/>
        <v>135439.22</v>
      </c>
      <c r="AE328" s="13">
        <f t="shared" si="298"/>
        <v>0</v>
      </c>
      <c r="AF328" s="36"/>
      <c r="AG328" s="15"/>
      <c r="AH328" s="15"/>
      <c r="AI328" s="15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</row>
    <row r="329" spans="1:62" ht="18.75" x14ac:dyDescent="0.3">
      <c r="A329" s="19" t="s">
        <v>28</v>
      </c>
      <c r="B329" s="13">
        <f t="shared" ref="B329:E330" si="299">B322+B215+B129</f>
        <v>1905108.8</v>
      </c>
      <c r="C329" s="13">
        <f t="shared" si="299"/>
        <v>1566575.5</v>
      </c>
      <c r="D329" s="13">
        <f t="shared" si="299"/>
        <v>1411121.45</v>
      </c>
      <c r="E329" s="13">
        <f t="shared" si="299"/>
        <v>1411121.45</v>
      </c>
      <c r="F329" s="21">
        <f t="shared" si="297"/>
        <v>74.070386426224061</v>
      </c>
      <c r="G329" s="21">
        <f t="shared" ref="G329:G333" si="300">E329/C329*100</f>
        <v>90.076823619416999</v>
      </c>
      <c r="H329" s="13">
        <f>H322+H215+H129</f>
        <v>110864.7</v>
      </c>
      <c r="I329" s="13">
        <f t="shared" ref="I329:AE329" si="301">I322+I215+I129</f>
        <v>100670.7</v>
      </c>
      <c r="J329" s="13">
        <f t="shared" si="301"/>
        <v>194836.1</v>
      </c>
      <c r="K329" s="13">
        <f t="shared" si="301"/>
        <v>176940.6</v>
      </c>
      <c r="L329" s="13">
        <f t="shared" si="301"/>
        <v>172729</v>
      </c>
      <c r="M329" s="13">
        <f t="shared" si="301"/>
        <v>166185.50000000003</v>
      </c>
      <c r="N329" s="13">
        <f t="shared" si="301"/>
        <v>167130.9</v>
      </c>
      <c r="O329" s="13">
        <f t="shared" si="301"/>
        <v>161482.09999999998</v>
      </c>
      <c r="P329" s="13">
        <f t="shared" si="301"/>
        <v>350364.7</v>
      </c>
      <c r="Q329" s="13">
        <f t="shared" si="301"/>
        <v>338925.6</v>
      </c>
      <c r="R329" s="13">
        <f t="shared" si="301"/>
        <v>172012.69999999998</v>
      </c>
      <c r="S329" s="13">
        <f t="shared" si="301"/>
        <v>96217.599999999991</v>
      </c>
      <c r="T329" s="13">
        <f t="shared" si="301"/>
        <v>106070.70000000001</v>
      </c>
      <c r="U329" s="13">
        <f t="shared" si="301"/>
        <v>181649.65000000002</v>
      </c>
      <c r="V329" s="13">
        <f t="shared" si="301"/>
        <v>77285.5</v>
      </c>
      <c r="W329" s="13">
        <f t="shared" si="301"/>
        <v>27123.5</v>
      </c>
      <c r="X329" s="13">
        <f t="shared" si="301"/>
        <v>105858.5</v>
      </c>
      <c r="Y329" s="13">
        <f t="shared" si="301"/>
        <v>108495.89999999998</v>
      </c>
      <c r="Z329" s="13">
        <f t="shared" si="301"/>
        <v>112501.30000000002</v>
      </c>
      <c r="AA329" s="13">
        <f t="shared" si="301"/>
        <v>53430.299999999996</v>
      </c>
      <c r="AB329" s="13">
        <f t="shared" si="301"/>
        <v>247576.09999999998</v>
      </c>
      <c r="AC329" s="13">
        <f t="shared" si="301"/>
        <v>0</v>
      </c>
      <c r="AD329" s="13">
        <f t="shared" si="301"/>
        <v>87878.6</v>
      </c>
      <c r="AE329" s="13">
        <f t="shared" si="301"/>
        <v>0</v>
      </c>
      <c r="AF329" s="36"/>
      <c r="AG329" s="15"/>
      <c r="AH329" s="15"/>
      <c r="AI329" s="15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</row>
    <row r="330" spans="1:62" ht="18.75" x14ac:dyDescent="0.3">
      <c r="A330" s="19" t="s">
        <v>29</v>
      </c>
      <c r="B330" s="13">
        <f t="shared" si="299"/>
        <v>759196.16000000003</v>
      </c>
      <c r="C330" s="13">
        <f t="shared" si="299"/>
        <v>638866.43999999994</v>
      </c>
      <c r="D330" s="13">
        <f t="shared" si="299"/>
        <v>638182.04999999993</v>
      </c>
      <c r="E330" s="13">
        <f t="shared" si="299"/>
        <v>638182.04999999993</v>
      </c>
      <c r="F330" s="21">
        <f t="shared" si="297"/>
        <v>84.060231548062617</v>
      </c>
      <c r="G330" s="21">
        <f t="shared" si="300"/>
        <v>99.892874322839688</v>
      </c>
      <c r="H330" s="13">
        <f t="shared" ref="H330:AE330" si="302">H323+H216+H130</f>
        <v>64809.600000000006</v>
      </c>
      <c r="I330" s="13">
        <f t="shared" si="302"/>
        <v>63209</v>
      </c>
      <c r="J330" s="13">
        <f t="shared" si="302"/>
        <v>94878.799999999988</v>
      </c>
      <c r="K330" s="13">
        <f t="shared" si="302"/>
        <v>87959.3</v>
      </c>
      <c r="L330" s="13">
        <f t="shared" si="302"/>
        <v>65279.1</v>
      </c>
      <c r="M330" s="13">
        <f t="shared" si="302"/>
        <v>62124.299999999996</v>
      </c>
      <c r="N330" s="13">
        <f t="shared" si="302"/>
        <v>68228.800000000003</v>
      </c>
      <c r="O330" s="13">
        <f t="shared" si="302"/>
        <v>66629.990000000005</v>
      </c>
      <c r="P330" s="13">
        <f t="shared" si="302"/>
        <v>75334.739999999991</v>
      </c>
      <c r="Q330" s="13">
        <f t="shared" si="302"/>
        <v>66415.08</v>
      </c>
      <c r="R330" s="13">
        <f t="shared" si="302"/>
        <v>61903.3</v>
      </c>
      <c r="S330" s="13">
        <f t="shared" si="302"/>
        <v>55218.100000000006</v>
      </c>
      <c r="T330" s="13">
        <f t="shared" si="302"/>
        <v>94687.5</v>
      </c>
      <c r="U330" s="13">
        <f t="shared" si="302"/>
        <v>67635.8</v>
      </c>
      <c r="V330" s="13">
        <f t="shared" si="302"/>
        <v>59663.299999999996</v>
      </c>
      <c r="W330" s="13">
        <f t="shared" si="302"/>
        <v>80853.799999999988</v>
      </c>
      <c r="X330" s="13">
        <f t="shared" si="302"/>
        <v>47691.700000000004</v>
      </c>
      <c r="Y330" s="13">
        <f t="shared" si="302"/>
        <v>39567.54</v>
      </c>
      <c r="Z330" s="13">
        <f t="shared" si="302"/>
        <v>51706.3</v>
      </c>
      <c r="AA330" s="13">
        <f t="shared" si="302"/>
        <v>54497.84</v>
      </c>
      <c r="AB330" s="13">
        <f t="shared" si="302"/>
        <v>37044.1</v>
      </c>
      <c r="AC330" s="13">
        <f t="shared" si="302"/>
        <v>0</v>
      </c>
      <c r="AD330" s="13">
        <f t="shared" si="302"/>
        <v>37968.92</v>
      </c>
      <c r="AE330" s="13">
        <f t="shared" si="302"/>
        <v>0</v>
      </c>
      <c r="AF330" s="36"/>
      <c r="AG330" s="15"/>
      <c r="AH330" s="15"/>
      <c r="AI330" s="15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</row>
    <row r="331" spans="1:62" ht="37.5" x14ac:dyDescent="0.3">
      <c r="A331" s="19" t="s">
        <v>44</v>
      </c>
      <c r="B331" s="13">
        <f t="shared" ref="B331:E331" si="303">B324+B131</f>
        <v>4668.1999999999989</v>
      </c>
      <c r="C331" s="13">
        <f t="shared" si="303"/>
        <v>4164.0999999999995</v>
      </c>
      <c r="D331" s="13">
        <f t="shared" si="303"/>
        <v>3303.7</v>
      </c>
      <c r="E331" s="13">
        <f t="shared" si="303"/>
        <v>3303.7</v>
      </c>
      <c r="F331" s="21">
        <f t="shared" si="297"/>
        <v>70.770318323979282</v>
      </c>
      <c r="G331" s="21">
        <f t="shared" si="300"/>
        <v>79.337672005955667</v>
      </c>
      <c r="H331" s="13">
        <f>H324+H131</f>
        <v>117</v>
      </c>
      <c r="I331" s="13">
        <f t="shared" ref="I331:AE331" si="304">I324+I131</f>
        <v>117</v>
      </c>
      <c r="J331" s="13">
        <f t="shared" si="304"/>
        <v>222.3</v>
      </c>
      <c r="K331" s="13">
        <f t="shared" si="304"/>
        <v>6.8</v>
      </c>
      <c r="L331" s="13">
        <f t="shared" si="304"/>
        <v>222.3</v>
      </c>
      <c r="M331" s="13">
        <f t="shared" si="304"/>
        <v>81.599999999999994</v>
      </c>
      <c r="N331" s="13">
        <f t="shared" si="304"/>
        <v>556.29999999999995</v>
      </c>
      <c r="O331" s="13">
        <f t="shared" si="304"/>
        <v>529.6</v>
      </c>
      <c r="P331" s="13">
        <f t="shared" si="304"/>
        <v>175.5</v>
      </c>
      <c r="Q331" s="13">
        <f t="shared" si="304"/>
        <v>161.9</v>
      </c>
      <c r="R331" s="13">
        <f t="shared" si="304"/>
        <v>842.6</v>
      </c>
      <c r="S331" s="13">
        <f t="shared" si="304"/>
        <v>899.4</v>
      </c>
      <c r="T331" s="13">
        <f t="shared" si="304"/>
        <v>625.4</v>
      </c>
      <c r="U331" s="13">
        <f t="shared" si="304"/>
        <v>625.4</v>
      </c>
      <c r="V331" s="13">
        <f t="shared" si="304"/>
        <v>717.5</v>
      </c>
      <c r="W331" s="13">
        <f t="shared" si="304"/>
        <v>522.1</v>
      </c>
      <c r="X331" s="13">
        <f t="shared" si="304"/>
        <v>128.69999999999999</v>
      </c>
      <c r="Y331" s="13">
        <f t="shared" si="304"/>
        <v>124.9</v>
      </c>
      <c r="Z331" s="13">
        <f t="shared" si="304"/>
        <v>556.5</v>
      </c>
      <c r="AA331" s="13">
        <f t="shared" si="304"/>
        <v>235</v>
      </c>
      <c r="AB331" s="13">
        <f t="shared" si="304"/>
        <v>198.9</v>
      </c>
      <c r="AC331" s="13">
        <f t="shared" si="304"/>
        <v>0</v>
      </c>
      <c r="AD331" s="13">
        <f t="shared" si="304"/>
        <v>305.19999999999965</v>
      </c>
      <c r="AE331" s="13">
        <f t="shared" si="304"/>
        <v>0</v>
      </c>
      <c r="AF331" s="36"/>
      <c r="AG331" s="15"/>
      <c r="AH331" s="15"/>
      <c r="AI331" s="15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</row>
    <row r="332" spans="1:62" ht="18.75" x14ac:dyDescent="0.3">
      <c r="A332" s="19" t="s">
        <v>30</v>
      </c>
      <c r="B332" s="13">
        <f t="shared" ref="B332:E333" si="305">B325+B217+B132</f>
        <v>65412.2</v>
      </c>
      <c r="C332" s="13">
        <f t="shared" si="305"/>
        <v>52076.5</v>
      </c>
      <c r="D332" s="13">
        <f t="shared" si="305"/>
        <v>47108.4</v>
      </c>
      <c r="E332" s="13">
        <f t="shared" si="305"/>
        <v>47108.4</v>
      </c>
      <c r="F332" s="21">
        <f t="shared" si="297"/>
        <v>72.017758155206522</v>
      </c>
      <c r="G332" s="21">
        <f t="shared" si="300"/>
        <v>90.459996351521326</v>
      </c>
      <c r="H332" s="13">
        <f t="shared" ref="H332:AE333" si="306">H325+H217+H132</f>
        <v>5043.2</v>
      </c>
      <c r="I332" s="13">
        <f t="shared" si="306"/>
        <v>967.9</v>
      </c>
      <c r="J332" s="13">
        <f t="shared" si="306"/>
        <v>5914.2000000000007</v>
      </c>
      <c r="K332" s="13">
        <f t="shared" si="306"/>
        <v>7746.1</v>
      </c>
      <c r="L332" s="13">
        <f t="shared" si="306"/>
        <v>5914.2000000000007</v>
      </c>
      <c r="M332" s="13">
        <f t="shared" si="306"/>
        <v>4581</v>
      </c>
      <c r="N332" s="13">
        <f t="shared" si="306"/>
        <v>5914.2000000000007</v>
      </c>
      <c r="O332" s="13">
        <f t="shared" si="306"/>
        <v>5485.1</v>
      </c>
      <c r="P332" s="13">
        <f t="shared" si="306"/>
        <v>17752.8</v>
      </c>
      <c r="Q332" s="13">
        <f t="shared" si="306"/>
        <v>8698.6999999999989</v>
      </c>
      <c r="R332" s="13">
        <f t="shared" si="306"/>
        <v>483.9</v>
      </c>
      <c r="S332" s="13">
        <f t="shared" si="306"/>
        <v>7648.1</v>
      </c>
      <c r="T332" s="13">
        <f t="shared" si="306"/>
        <v>0</v>
      </c>
      <c r="U332" s="13">
        <f t="shared" si="306"/>
        <v>0</v>
      </c>
      <c r="V332" s="13">
        <f t="shared" si="306"/>
        <v>1023.4</v>
      </c>
      <c r="W332" s="13">
        <f t="shared" si="306"/>
        <v>486.3</v>
      </c>
      <c r="X332" s="13">
        <f t="shared" si="306"/>
        <v>5139.8999999999996</v>
      </c>
      <c r="Y332" s="13">
        <f t="shared" si="306"/>
        <v>5587</v>
      </c>
      <c r="Z332" s="13">
        <f t="shared" si="306"/>
        <v>5914.1</v>
      </c>
      <c r="AA332" s="13">
        <f t="shared" si="306"/>
        <v>5908.2000000000007</v>
      </c>
      <c r="AB332" s="13">
        <f t="shared" si="306"/>
        <v>5720.6</v>
      </c>
      <c r="AC332" s="13">
        <f t="shared" si="306"/>
        <v>0</v>
      </c>
      <c r="AD332" s="13">
        <f t="shared" si="306"/>
        <v>6591.7</v>
      </c>
      <c r="AE332" s="13">
        <f t="shared" si="306"/>
        <v>0</v>
      </c>
      <c r="AF332" s="36"/>
      <c r="AG332" s="15"/>
      <c r="AH332" s="15"/>
      <c r="AI332" s="15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</row>
    <row r="333" spans="1:62" ht="18.75" x14ac:dyDescent="0.3">
      <c r="A333" s="19" t="s">
        <v>31</v>
      </c>
      <c r="B333" s="65">
        <f t="shared" si="305"/>
        <v>97099.33</v>
      </c>
      <c r="C333" s="65">
        <f t="shared" si="305"/>
        <v>83995.83</v>
      </c>
      <c r="D333" s="65">
        <f t="shared" si="305"/>
        <v>93661</v>
      </c>
      <c r="E333" s="65">
        <f t="shared" si="305"/>
        <v>83661</v>
      </c>
      <c r="F333" s="21">
        <f t="shared" si="297"/>
        <v>86.160223762615047</v>
      </c>
      <c r="G333" s="21">
        <f t="shared" si="300"/>
        <v>99.601373068163028</v>
      </c>
      <c r="H333" s="65">
        <f t="shared" si="306"/>
        <v>0</v>
      </c>
      <c r="I333" s="65">
        <f t="shared" si="306"/>
        <v>0</v>
      </c>
      <c r="J333" s="65">
        <f t="shared" si="306"/>
        <v>6025</v>
      </c>
      <c r="K333" s="65">
        <f t="shared" si="306"/>
        <v>2301.8000000000002</v>
      </c>
      <c r="L333" s="65">
        <f t="shared" si="306"/>
        <v>0</v>
      </c>
      <c r="M333" s="65">
        <f t="shared" si="306"/>
        <v>3413.6</v>
      </c>
      <c r="N333" s="65">
        <f t="shared" si="306"/>
        <v>29000</v>
      </c>
      <c r="O333" s="65">
        <f t="shared" si="306"/>
        <v>4000</v>
      </c>
      <c r="P333" s="65">
        <f t="shared" si="306"/>
        <v>0</v>
      </c>
      <c r="Q333" s="65">
        <f t="shared" si="306"/>
        <v>25000</v>
      </c>
      <c r="R333" s="65">
        <f t="shared" si="306"/>
        <v>9470.23</v>
      </c>
      <c r="S333" s="65">
        <f t="shared" si="306"/>
        <v>9367.2999999999993</v>
      </c>
      <c r="T333" s="65">
        <f t="shared" si="306"/>
        <v>4536.8</v>
      </c>
      <c r="U333" s="65">
        <f t="shared" si="306"/>
        <v>3536.8</v>
      </c>
      <c r="V333" s="65">
        <f t="shared" si="306"/>
        <v>7474.9</v>
      </c>
      <c r="W333" s="65">
        <f t="shared" si="306"/>
        <v>7474.9</v>
      </c>
      <c r="X333" s="65">
        <f t="shared" si="306"/>
        <v>21488.3</v>
      </c>
      <c r="Y333" s="65">
        <f t="shared" si="306"/>
        <v>22256.399999999998</v>
      </c>
      <c r="Z333" s="65">
        <f t="shared" si="306"/>
        <v>6000.6</v>
      </c>
      <c r="AA333" s="65">
        <f t="shared" si="306"/>
        <v>6310.2</v>
      </c>
      <c r="AB333" s="65">
        <f t="shared" si="306"/>
        <v>10103.5</v>
      </c>
      <c r="AC333" s="65">
        <f t="shared" si="306"/>
        <v>0</v>
      </c>
      <c r="AD333" s="65">
        <f t="shared" si="306"/>
        <v>3000</v>
      </c>
      <c r="AE333" s="65">
        <f t="shared" si="306"/>
        <v>0</v>
      </c>
      <c r="AF333" s="36"/>
      <c r="AG333" s="15"/>
      <c r="AH333" s="15"/>
      <c r="AI333" s="15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</row>
    <row r="334" spans="1:62" ht="15.75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5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</row>
    <row r="335" spans="1:62" ht="64.5" customHeight="1" x14ac:dyDescent="0.25">
      <c r="A335" s="130" t="s">
        <v>122</v>
      </c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  <c r="AA335" s="130"/>
      <c r="AB335" s="130"/>
      <c r="AC335" s="130"/>
      <c r="AD335" s="130"/>
      <c r="AE335" s="3"/>
      <c r="AF335" s="66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</row>
    <row r="336" spans="1:62" ht="15.75" x14ac:dyDescent="0.25">
      <c r="A336" s="6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69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</row>
    <row r="337" spans="1:62" ht="18.75" x14ac:dyDescent="0.25">
      <c r="A337" s="130" t="s">
        <v>94</v>
      </c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  <c r="AA337" s="130"/>
      <c r="AB337" s="130"/>
      <c r="AC337" s="130"/>
      <c r="AD337" s="130"/>
      <c r="AE337" s="3"/>
      <c r="AF337" s="70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</row>
    <row r="338" spans="1:62" ht="15.75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5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</row>
    <row r="339" spans="1:62" ht="15.75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5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</row>
    <row r="340" spans="1:62" ht="15.75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5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</row>
  </sheetData>
  <mergeCells count="99">
    <mergeCell ref="A306:AE306"/>
    <mergeCell ref="A335:AD335"/>
    <mergeCell ref="AF257:AF260"/>
    <mergeCell ref="A271:AE271"/>
    <mergeCell ref="AF293:AF298"/>
    <mergeCell ref="A292:AE292"/>
    <mergeCell ref="AF271:BJ271"/>
    <mergeCell ref="A278:G278"/>
    <mergeCell ref="A285:G285"/>
    <mergeCell ref="AF272:AF277"/>
    <mergeCell ref="AG272:AG277"/>
    <mergeCell ref="AG293:AG298"/>
    <mergeCell ref="A299:AD299"/>
    <mergeCell ref="AF191:AF199"/>
    <mergeCell ref="A196:AE196"/>
    <mergeCell ref="A337:AD337"/>
    <mergeCell ref="AF292:BJ292"/>
    <mergeCell ref="A264:AD264"/>
    <mergeCell ref="A205:AE205"/>
    <mergeCell ref="A226:AE226"/>
    <mergeCell ref="A232:AE232"/>
    <mergeCell ref="AF233:AF237"/>
    <mergeCell ref="A251:AE251"/>
    <mergeCell ref="A219:AD219"/>
    <mergeCell ref="A220:AD220"/>
    <mergeCell ref="A238:AE238"/>
    <mergeCell ref="AF239:AF243"/>
    <mergeCell ref="A244:AD244"/>
    <mergeCell ref="A257:AE257"/>
    <mergeCell ref="AF154:AF159"/>
    <mergeCell ref="A160:AE160"/>
    <mergeCell ref="AF160:AF163"/>
    <mergeCell ref="A166:AE166"/>
    <mergeCell ref="A172:AE172"/>
    <mergeCell ref="AF172:AF177"/>
    <mergeCell ref="A154:AE154"/>
    <mergeCell ref="A135:AE135"/>
    <mergeCell ref="A141:AE141"/>
    <mergeCell ref="A147:AD147"/>
    <mergeCell ref="A148:AE148"/>
    <mergeCell ref="A202:AE202"/>
    <mergeCell ref="A178:AE178"/>
    <mergeCell ref="A184:AE184"/>
    <mergeCell ref="A190:AE190"/>
    <mergeCell ref="A116:AE116"/>
    <mergeCell ref="AF116:AF121"/>
    <mergeCell ref="A122:AE122"/>
    <mergeCell ref="AF122:AF127"/>
    <mergeCell ref="A134:AD134"/>
    <mergeCell ref="AF84:AF90"/>
    <mergeCell ref="A91:AE91"/>
    <mergeCell ref="AF92:AF97"/>
    <mergeCell ref="A98:AE98"/>
    <mergeCell ref="A110:AE110"/>
    <mergeCell ref="AF110:AF115"/>
    <mergeCell ref="A104:AE104"/>
    <mergeCell ref="A84:AE84"/>
    <mergeCell ref="A10:AD10"/>
    <mergeCell ref="A11:AE11"/>
    <mergeCell ref="A17:AE17"/>
    <mergeCell ref="A23:AE23"/>
    <mergeCell ref="A53:AE53"/>
    <mergeCell ref="A29:AE29"/>
    <mergeCell ref="X6:Y7"/>
    <mergeCell ref="Z6:AA7"/>
    <mergeCell ref="AB6:AC7"/>
    <mergeCell ref="AF6:AF8"/>
    <mergeCell ref="P6:Q7"/>
    <mergeCell ref="AD6:AE7"/>
    <mergeCell ref="T1:Y1"/>
    <mergeCell ref="T2:AD2"/>
    <mergeCell ref="A3:O3"/>
    <mergeCell ref="T3:AD3"/>
    <mergeCell ref="A4:O4"/>
    <mergeCell ref="F6:G7"/>
    <mergeCell ref="H6:I7"/>
    <mergeCell ref="J6:K7"/>
    <mergeCell ref="L6:M7"/>
    <mergeCell ref="AF53:AF59"/>
    <mergeCell ref="A59:AE59"/>
    <mergeCell ref="A6:A8"/>
    <mergeCell ref="B6:B7"/>
    <mergeCell ref="C6:C7"/>
    <mergeCell ref="D6:D7"/>
    <mergeCell ref="E6:E7"/>
    <mergeCell ref="N6:O7"/>
    <mergeCell ref="AF23:AF26"/>
    <mergeCell ref="R6:S7"/>
    <mergeCell ref="T6:U7"/>
    <mergeCell ref="V6:W7"/>
    <mergeCell ref="A65:AE65"/>
    <mergeCell ref="A71:AE71"/>
    <mergeCell ref="A77:AE77"/>
    <mergeCell ref="AF29:AF32"/>
    <mergeCell ref="A35:AE35"/>
    <mergeCell ref="AF35:AF40"/>
    <mergeCell ref="A41:AE41"/>
    <mergeCell ref="A47:AE47"/>
    <mergeCell ref="AF47:AF52"/>
  </mergeCells>
  <pageMargins left="0" right="0" top="0" bottom="0" header="0.31496062992125984" footer="0.31496062992125984"/>
  <pageSetup paperSize="9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workbookViewId="0">
      <selection activeCell="G7" sqref="G7"/>
    </sheetView>
  </sheetViews>
  <sheetFormatPr defaultRowHeight="15" x14ac:dyDescent="0.25"/>
  <cols>
    <col min="2" max="2" width="28.140625" customWidth="1"/>
    <col min="11" max="16" width="14.85546875" customWidth="1"/>
    <col min="17" max="17" width="11.85546875" customWidth="1"/>
  </cols>
  <sheetData>
    <row r="1" spans="1:18" s="86" customFormat="1" ht="25.15" customHeight="1" x14ac:dyDescent="0.2">
      <c r="A1" s="149" t="s">
        <v>102</v>
      </c>
      <c r="B1" s="150" t="s">
        <v>103</v>
      </c>
      <c r="C1" s="150" t="s">
        <v>104</v>
      </c>
      <c r="D1" s="152" t="s">
        <v>138</v>
      </c>
      <c r="E1" s="152"/>
      <c r="F1" s="152"/>
      <c r="G1" s="152"/>
      <c r="H1" s="152"/>
      <c r="I1" s="152"/>
      <c r="J1" s="84"/>
      <c r="K1" s="153" t="s">
        <v>105</v>
      </c>
      <c r="L1" s="153"/>
      <c r="M1" s="153"/>
      <c r="N1" s="153"/>
      <c r="O1" s="153"/>
      <c r="P1" s="153"/>
      <c r="Q1" s="85"/>
      <c r="R1" s="85"/>
    </row>
    <row r="2" spans="1:18" s="86" customFormat="1" ht="93" customHeight="1" thickBot="1" x14ac:dyDescent="0.25">
      <c r="A2" s="149"/>
      <c r="B2" s="151"/>
      <c r="C2" s="150"/>
      <c r="D2" s="87" t="s">
        <v>106</v>
      </c>
      <c r="E2" s="87" t="s">
        <v>137</v>
      </c>
      <c r="F2" s="87" t="s">
        <v>107</v>
      </c>
      <c r="G2" s="87" t="s">
        <v>108</v>
      </c>
      <c r="H2" s="87" t="s">
        <v>139</v>
      </c>
      <c r="I2" s="87" t="s">
        <v>109</v>
      </c>
      <c r="J2" s="87" t="s">
        <v>140</v>
      </c>
      <c r="K2" s="154"/>
      <c r="L2" s="154"/>
      <c r="M2" s="154"/>
      <c r="N2" s="154"/>
      <c r="O2" s="154"/>
      <c r="P2" s="154"/>
      <c r="Q2" s="85"/>
      <c r="R2" s="85"/>
    </row>
    <row r="3" spans="1:18" s="74" customFormat="1" ht="72" customHeight="1" x14ac:dyDescent="0.2">
      <c r="A3" s="134">
        <v>1</v>
      </c>
      <c r="B3" s="137" t="s">
        <v>133</v>
      </c>
      <c r="C3" s="75" t="s">
        <v>30</v>
      </c>
      <c r="D3" s="76"/>
      <c r="E3" s="76"/>
      <c r="F3" s="76"/>
      <c r="G3" s="77"/>
      <c r="H3" s="76"/>
      <c r="I3" s="77"/>
      <c r="J3" s="77">
        <f t="shared" ref="J3:J6" si="0">IFERROR(H3/E3*100,0)</f>
        <v>0</v>
      </c>
      <c r="K3" s="140" t="s">
        <v>141</v>
      </c>
      <c r="L3" s="141"/>
      <c r="M3" s="141"/>
      <c r="N3" s="141"/>
      <c r="O3" s="141"/>
      <c r="P3" s="142"/>
      <c r="Q3" s="73"/>
      <c r="R3" s="73"/>
    </row>
    <row r="4" spans="1:18" s="74" customFormat="1" ht="36.75" customHeight="1" x14ac:dyDescent="0.2">
      <c r="A4" s="135"/>
      <c r="B4" s="138"/>
      <c r="C4" s="78" t="s">
        <v>28</v>
      </c>
      <c r="D4" s="79">
        <v>3840</v>
      </c>
      <c r="E4" s="79">
        <v>3280</v>
      </c>
      <c r="F4" s="79">
        <v>2884</v>
      </c>
      <c r="G4" s="80">
        <f t="shared" ref="G3:G31" si="1">F4/D4*100</f>
        <v>75.104166666666671</v>
      </c>
      <c r="H4" s="79">
        <v>2884</v>
      </c>
      <c r="I4" s="80">
        <f t="shared" ref="I4" si="2">IFERROR(H4/F4*100,0)</f>
        <v>100</v>
      </c>
      <c r="J4" s="80">
        <f>IFERROR(H4/E4*100,0)</f>
        <v>87.926829268292678</v>
      </c>
      <c r="K4" s="143"/>
      <c r="L4" s="144"/>
      <c r="M4" s="144"/>
      <c r="N4" s="144"/>
      <c r="O4" s="144"/>
      <c r="P4" s="145"/>
      <c r="Q4" s="155"/>
      <c r="R4" s="73"/>
    </row>
    <row r="5" spans="1:18" s="74" customFormat="1" ht="36.75" customHeight="1" x14ac:dyDescent="0.2">
      <c r="A5" s="135"/>
      <c r="B5" s="138"/>
      <c r="C5" s="78" t="s">
        <v>100</v>
      </c>
      <c r="D5" s="79"/>
      <c r="E5" s="79"/>
      <c r="F5" s="79"/>
      <c r="G5" s="80"/>
      <c r="H5" s="79"/>
      <c r="I5" s="80"/>
      <c r="J5" s="80">
        <f t="shared" si="0"/>
        <v>0</v>
      </c>
      <c r="K5" s="143"/>
      <c r="L5" s="144"/>
      <c r="M5" s="144"/>
      <c r="N5" s="144"/>
      <c r="O5" s="144"/>
      <c r="P5" s="145"/>
      <c r="Q5" s="73"/>
      <c r="R5" s="73"/>
    </row>
    <row r="6" spans="1:18" s="74" customFormat="1" ht="35.25" customHeight="1" thickBot="1" x14ac:dyDescent="0.25">
      <c r="A6" s="136"/>
      <c r="B6" s="139"/>
      <c r="C6" s="81" t="s">
        <v>101</v>
      </c>
      <c r="D6" s="82">
        <f>D3+D4+D5</f>
        <v>3840</v>
      </c>
      <c r="E6" s="82">
        <f>E3+E4+E5</f>
        <v>3280</v>
      </c>
      <c r="F6" s="82">
        <f>F3+F4+F5</f>
        <v>2884</v>
      </c>
      <c r="G6" s="83">
        <f t="shared" si="1"/>
        <v>75.104166666666671</v>
      </c>
      <c r="H6" s="82">
        <f>H3+H4+H5</f>
        <v>2884</v>
      </c>
      <c r="I6" s="82">
        <f t="shared" ref="I6" si="3">IFERROR(H6/F6*100,0)</f>
        <v>100</v>
      </c>
      <c r="J6" s="82">
        <f t="shared" si="0"/>
        <v>87.926829268292678</v>
      </c>
      <c r="K6" s="146"/>
      <c r="L6" s="147"/>
      <c r="M6" s="147"/>
      <c r="N6" s="147"/>
      <c r="O6" s="147"/>
      <c r="P6" s="148"/>
      <c r="Q6" s="73"/>
      <c r="R6" s="73"/>
    </row>
    <row r="7" spans="1:18" s="74" customFormat="1" ht="71.25" customHeight="1" x14ac:dyDescent="0.2">
      <c r="A7" s="134">
        <v>2</v>
      </c>
      <c r="B7" s="137" t="s">
        <v>134</v>
      </c>
      <c r="C7" s="75" t="s">
        <v>30</v>
      </c>
      <c r="D7" s="76"/>
      <c r="E7" s="76"/>
      <c r="F7" s="76"/>
      <c r="G7" s="77"/>
      <c r="H7" s="76"/>
      <c r="I7" s="77"/>
      <c r="J7" s="77">
        <f t="shared" ref="J7:J10" si="4">IFERROR(H7/E7*100,0)</f>
        <v>0</v>
      </c>
      <c r="K7" s="140" t="s">
        <v>142</v>
      </c>
      <c r="L7" s="141"/>
      <c r="M7" s="141"/>
      <c r="N7" s="141"/>
      <c r="O7" s="141"/>
      <c r="P7" s="142"/>
      <c r="Q7" s="73"/>
      <c r="R7" s="73"/>
    </row>
    <row r="8" spans="1:18" s="74" customFormat="1" ht="36.75" customHeight="1" x14ac:dyDescent="0.2">
      <c r="A8" s="135"/>
      <c r="B8" s="138"/>
      <c r="C8" s="78" t="s">
        <v>28</v>
      </c>
      <c r="D8" s="79">
        <v>16910.8</v>
      </c>
      <c r="E8" s="79">
        <v>11502.7</v>
      </c>
      <c r="F8" s="79">
        <v>11219.8</v>
      </c>
      <c r="G8" s="80">
        <f t="shared" si="1"/>
        <v>66.346949878184361</v>
      </c>
      <c r="H8" s="79">
        <v>11219.8</v>
      </c>
      <c r="I8" s="80">
        <f t="shared" ref="I8" si="5">IFERROR(H8/F8*100,0)</f>
        <v>100</v>
      </c>
      <c r="J8" s="80">
        <f t="shared" si="4"/>
        <v>97.54057742964693</v>
      </c>
      <c r="K8" s="143"/>
      <c r="L8" s="144"/>
      <c r="M8" s="144"/>
      <c r="N8" s="144"/>
      <c r="O8" s="144"/>
      <c r="P8" s="145"/>
      <c r="Q8" s="155"/>
      <c r="R8" s="73"/>
    </row>
    <row r="9" spans="1:18" s="74" customFormat="1" ht="36.75" customHeight="1" x14ac:dyDescent="0.2">
      <c r="A9" s="135"/>
      <c r="B9" s="138"/>
      <c r="C9" s="78" t="s">
        <v>100</v>
      </c>
      <c r="D9" s="79"/>
      <c r="E9" s="79"/>
      <c r="F9" s="79"/>
      <c r="G9" s="80"/>
      <c r="H9" s="79"/>
      <c r="I9" s="80"/>
      <c r="J9" s="80">
        <f t="shared" si="4"/>
        <v>0</v>
      </c>
      <c r="K9" s="143"/>
      <c r="L9" s="144"/>
      <c r="M9" s="144"/>
      <c r="N9" s="144"/>
      <c r="O9" s="144"/>
      <c r="P9" s="145"/>
      <c r="Q9" s="73"/>
      <c r="R9" s="73"/>
    </row>
    <row r="10" spans="1:18" s="74" customFormat="1" ht="36.75" customHeight="1" thickBot="1" x14ac:dyDescent="0.25">
      <c r="A10" s="136"/>
      <c r="B10" s="139"/>
      <c r="C10" s="81" t="s">
        <v>101</v>
      </c>
      <c r="D10" s="82">
        <f>D7+D8+D9</f>
        <v>16910.8</v>
      </c>
      <c r="E10" s="82">
        <f>E7+E8+E9</f>
        <v>11502.7</v>
      </c>
      <c r="F10" s="82">
        <f>F7+F8+F9</f>
        <v>11219.8</v>
      </c>
      <c r="G10" s="83">
        <f t="shared" si="1"/>
        <v>66.346949878184361</v>
      </c>
      <c r="H10" s="82">
        <f>H7+H8+H9</f>
        <v>11219.8</v>
      </c>
      <c r="I10" s="82">
        <f t="shared" ref="I10" si="6">IFERROR(H10/F10*100,0)</f>
        <v>100</v>
      </c>
      <c r="J10" s="82">
        <f t="shared" si="4"/>
        <v>97.54057742964693</v>
      </c>
      <c r="K10" s="146"/>
      <c r="L10" s="147"/>
      <c r="M10" s="147"/>
      <c r="N10" s="147"/>
      <c r="O10" s="147"/>
      <c r="P10" s="148"/>
      <c r="Q10" s="73"/>
      <c r="R10" s="73"/>
    </row>
    <row r="11" spans="1:18" s="74" customFormat="1" ht="36.75" customHeight="1" x14ac:dyDescent="0.2">
      <c r="A11" s="134">
        <v>3</v>
      </c>
      <c r="B11" s="137" t="s">
        <v>135</v>
      </c>
      <c r="C11" s="75" t="s">
        <v>30</v>
      </c>
      <c r="D11" s="76"/>
      <c r="E11" s="76"/>
      <c r="F11" s="76"/>
      <c r="G11" s="77"/>
      <c r="H11" s="76"/>
      <c r="I11" s="77"/>
      <c r="J11" s="77">
        <f t="shared" ref="J11:J14" si="7">IFERROR(H11/E11*100,0)</f>
        <v>0</v>
      </c>
      <c r="K11" s="140" t="s">
        <v>147</v>
      </c>
      <c r="L11" s="141"/>
      <c r="M11" s="141"/>
      <c r="N11" s="141"/>
      <c r="O11" s="141"/>
      <c r="P11" s="142"/>
      <c r="Q11" s="73"/>
      <c r="R11" s="73"/>
    </row>
    <row r="12" spans="1:18" s="74" customFormat="1" ht="51.75" customHeight="1" x14ac:dyDescent="0.2">
      <c r="A12" s="135"/>
      <c r="B12" s="138"/>
      <c r="C12" s="78" t="s">
        <v>28</v>
      </c>
      <c r="D12" s="79">
        <v>20591.400000000001</v>
      </c>
      <c r="E12" s="79">
        <v>20022.900000000001</v>
      </c>
      <c r="F12" s="79">
        <v>18420.599999999999</v>
      </c>
      <c r="G12" s="80">
        <f t="shared" si="1"/>
        <v>89.457734782481992</v>
      </c>
      <c r="H12" s="79">
        <v>18420.599999999999</v>
      </c>
      <c r="I12" s="80">
        <f t="shared" ref="I12:I13" si="8">IFERROR(H12/F12*100,0)</f>
        <v>100</v>
      </c>
      <c r="J12" s="80">
        <f t="shared" si="7"/>
        <v>91.997662676235691</v>
      </c>
      <c r="K12" s="143"/>
      <c r="L12" s="144"/>
      <c r="M12" s="144"/>
      <c r="N12" s="144"/>
      <c r="O12" s="144"/>
      <c r="P12" s="145"/>
      <c r="Q12" s="155"/>
      <c r="R12" s="73"/>
    </row>
    <row r="13" spans="1:18" s="74" customFormat="1" ht="36.75" customHeight="1" x14ac:dyDescent="0.2">
      <c r="A13" s="135"/>
      <c r="B13" s="138"/>
      <c r="C13" s="78" t="s">
        <v>100</v>
      </c>
      <c r="D13" s="79">
        <v>2796</v>
      </c>
      <c r="E13" s="79">
        <v>2795</v>
      </c>
      <c r="F13" s="79">
        <v>2265.6</v>
      </c>
      <c r="G13" s="80">
        <f t="shared" si="1"/>
        <v>81.030042918454939</v>
      </c>
      <c r="H13" s="79">
        <v>2265.6</v>
      </c>
      <c r="I13" s="80">
        <f t="shared" si="8"/>
        <v>100</v>
      </c>
      <c r="J13" s="80">
        <f t="shared" si="7"/>
        <v>81.059033989266553</v>
      </c>
      <c r="K13" s="143"/>
      <c r="L13" s="144"/>
      <c r="M13" s="144"/>
      <c r="N13" s="144"/>
      <c r="O13" s="144"/>
      <c r="P13" s="145"/>
      <c r="Q13" s="155"/>
      <c r="R13" s="73"/>
    </row>
    <row r="14" spans="1:18" s="74" customFormat="1" ht="91.5" customHeight="1" thickBot="1" x14ac:dyDescent="0.25">
      <c r="A14" s="136"/>
      <c r="B14" s="139"/>
      <c r="C14" s="81" t="s">
        <v>101</v>
      </c>
      <c r="D14" s="82">
        <f>D11+D12+D13</f>
        <v>23387.4</v>
      </c>
      <c r="E14" s="82">
        <f>E11+E12+E13</f>
        <v>22817.9</v>
      </c>
      <c r="F14" s="82">
        <f>F11+F12+F13</f>
        <v>20686.199999999997</v>
      </c>
      <c r="G14" s="83">
        <f t="shared" si="1"/>
        <v>88.450191128556384</v>
      </c>
      <c r="H14" s="82">
        <f>H11+H12+H13</f>
        <v>20686.199999999997</v>
      </c>
      <c r="I14" s="82">
        <f t="shared" ref="I14" si="9">IFERROR(H14/F14*100,0)</f>
        <v>100</v>
      </c>
      <c r="J14" s="82">
        <f t="shared" si="7"/>
        <v>90.657773064129458</v>
      </c>
      <c r="K14" s="146"/>
      <c r="L14" s="147"/>
      <c r="M14" s="147"/>
      <c r="N14" s="147"/>
      <c r="O14" s="147"/>
      <c r="P14" s="148"/>
      <c r="Q14" s="155"/>
      <c r="R14" s="73"/>
    </row>
    <row r="15" spans="1:18" s="74" customFormat="1" ht="36.75" customHeight="1" x14ac:dyDescent="0.2">
      <c r="A15" s="134" t="s">
        <v>99</v>
      </c>
      <c r="B15" s="137" t="s">
        <v>136</v>
      </c>
      <c r="C15" s="75" t="s">
        <v>30</v>
      </c>
      <c r="D15" s="76">
        <v>1023.5</v>
      </c>
      <c r="E15" s="76">
        <v>1023.5</v>
      </c>
      <c r="F15" s="76">
        <v>477.5</v>
      </c>
      <c r="G15" s="77">
        <f t="shared" si="1"/>
        <v>46.653639472398631</v>
      </c>
      <c r="H15" s="76">
        <v>477.5</v>
      </c>
      <c r="I15" s="80">
        <f t="shared" ref="I15:I17" si="10">IFERROR(H15/F15*100,0)</f>
        <v>100</v>
      </c>
      <c r="J15" s="77">
        <f t="shared" ref="J15:J22" si="11">IFERROR(H15/E15*100,0)</f>
        <v>46.653639472398631</v>
      </c>
      <c r="K15" s="156" t="s">
        <v>143</v>
      </c>
      <c r="L15" s="141"/>
      <c r="M15" s="141"/>
      <c r="N15" s="141"/>
      <c r="O15" s="141"/>
      <c r="P15" s="142"/>
      <c r="Q15" s="73"/>
      <c r="R15" s="73"/>
    </row>
    <row r="16" spans="1:18" s="74" customFormat="1" ht="36.75" customHeight="1" x14ac:dyDescent="0.2">
      <c r="A16" s="135"/>
      <c r="B16" s="138"/>
      <c r="C16" s="78" t="s">
        <v>28</v>
      </c>
      <c r="D16" s="79">
        <v>1600.9</v>
      </c>
      <c r="E16" s="79">
        <v>1600.7</v>
      </c>
      <c r="F16" s="79">
        <v>746.9</v>
      </c>
      <c r="G16" s="80">
        <f t="shared" si="1"/>
        <v>46.655006558810662</v>
      </c>
      <c r="H16" s="79">
        <v>746.9</v>
      </c>
      <c r="I16" s="80">
        <f t="shared" si="10"/>
        <v>100</v>
      </c>
      <c r="J16" s="80">
        <f t="shared" si="11"/>
        <v>46.660835884300617</v>
      </c>
      <c r="K16" s="143"/>
      <c r="L16" s="144"/>
      <c r="M16" s="144"/>
      <c r="N16" s="144"/>
      <c r="O16" s="144"/>
      <c r="P16" s="145"/>
      <c r="Q16" s="73"/>
      <c r="R16" s="73"/>
    </row>
    <row r="17" spans="1:18" s="74" customFormat="1" ht="36.75" customHeight="1" x14ac:dyDescent="0.2">
      <c r="A17" s="135"/>
      <c r="B17" s="138"/>
      <c r="C17" s="78" t="s">
        <v>100</v>
      </c>
      <c r="D17" s="79">
        <v>212.8</v>
      </c>
      <c r="E17" s="79">
        <v>212.8</v>
      </c>
      <c r="F17" s="79">
        <v>99.3</v>
      </c>
      <c r="G17" s="80">
        <f t="shared" si="1"/>
        <v>46.66353383458646</v>
      </c>
      <c r="H17" s="79">
        <v>99.3</v>
      </c>
      <c r="I17" s="80">
        <f t="shared" si="10"/>
        <v>100</v>
      </c>
      <c r="J17" s="80">
        <f t="shared" si="11"/>
        <v>46.66353383458646</v>
      </c>
      <c r="K17" s="143"/>
      <c r="L17" s="144"/>
      <c r="M17" s="144"/>
      <c r="N17" s="144"/>
      <c r="O17" s="144"/>
      <c r="P17" s="145"/>
      <c r="Q17" s="73"/>
      <c r="R17" s="73"/>
    </row>
    <row r="18" spans="1:18" s="74" customFormat="1" ht="41.25" customHeight="1" thickBot="1" x14ac:dyDescent="0.25">
      <c r="A18" s="136"/>
      <c r="B18" s="139"/>
      <c r="C18" s="81" t="s">
        <v>101</v>
      </c>
      <c r="D18" s="82">
        <f>D15+D16+D17</f>
        <v>2837.2000000000003</v>
      </c>
      <c r="E18" s="82">
        <f>E15+E16+E17</f>
        <v>2837</v>
      </c>
      <c r="F18" s="82">
        <f>F15+F16+F17</f>
        <v>1323.7</v>
      </c>
      <c r="G18" s="83">
        <f t="shared" si="1"/>
        <v>46.655152967714649</v>
      </c>
      <c r="H18" s="82">
        <f>H15+H16+H17</f>
        <v>1323.7</v>
      </c>
      <c r="I18" s="82">
        <f t="shared" ref="I18" si="12">IFERROR(H18/F18*100,0)</f>
        <v>100</v>
      </c>
      <c r="J18" s="82">
        <f t="shared" si="11"/>
        <v>46.658442016214316</v>
      </c>
      <c r="K18" s="146"/>
      <c r="L18" s="147"/>
      <c r="M18" s="147"/>
      <c r="N18" s="147"/>
      <c r="O18" s="147"/>
      <c r="P18" s="148"/>
      <c r="Q18" s="73"/>
      <c r="R18" s="73"/>
    </row>
    <row r="19" spans="1:18" s="74" customFormat="1" ht="36.75" customHeight="1" x14ac:dyDescent="0.2">
      <c r="A19" s="134">
        <v>5</v>
      </c>
      <c r="B19" s="137" t="s">
        <v>115</v>
      </c>
      <c r="C19" s="75" t="s">
        <v>30</v>
      </c>
      <c r="D19" s="76"/>
      <c r="E19" s="76"/>
      <c r="F19" s="76"/>
      <c r="G19" s="77"/>
      <c r="H19" s="76"/>
      <c r="I19" s="77"/>
      <c r="J19" s="77">
        <f t="shared" si="11"/>
        <v>0</v>
      </c>
      <c r="K19" s="140" t="s">
        <v>144</v>
      </c>
      <c r="L19" s="141"/>
      <c r="M19" s="141"/>
      <c r="N19" s="141"/>
      <c r="O19" s="141"/>
      <c r="P19" s="142"/>
      <c r="Q19" s="73"/>
      <c r="R19" s="73"/>
    </row>
    <row r="20" spans="1:18" s="74" customFormat="1" ht="36.75" customHeight="1" x14ac:dyDescent="0.2">
      <c r="A20" s="135"/>
      <c r="B20" s="138"/>
      <c r="C20" s="78" t="s">
        <v>28</v>
      </c>
      <c r="D20" s="79">
        <v>1477.7</v>
      </c>
      <c r="E20" s="79">
        <v>1477.7</v>
      </c>
      <c r="F20" s="79">
        <v>1477.7</v>
      </c>
      <c r="G20" s="80">
        <f t="shared" ref="G19:G22" si="13">F20/D20*100</f>
        <v>100</v>
      </c>
      <c r="H20" s="79">
        <v>1477.7</v>
      </c>
      <c r="I20" s="80">
        <f t="shared" ref="I20:I22" si="14">IFERROR(H20/F20*100,0)</f>
        <v>100</v>
      </c>
      <c r="J20" s="80">
        <f t="shared" si="11"/>
        <v>100</v>
      </c>
      <c r="K20" s="143"/>
      <c r="L20" s="144"/>
      <c r="M20" s="144"/>
      <c r="N20" s="144"/>
      <c r="O20" s="144"/>
      <c r="P20" s="145"/>
      <c r="Q20" s="73"/>
      <c r="R20" s="73"/>
    </row>
    <row r="21" spans="1:18" s="74" customFormat="1" ht="36.75" customHeight="1" x14ac:dyDescent="0.2">
      <c r="A21" s="135"/>
      <c r="B21" s="138"/>
      <c r="C21" s="78" t="s">
        <v>100</v>
      </c>
      <c r="D21" s="79">
        <v>690</v>
      </c>
      <c r="E21" s="79">
        <v>690</v>
      </c>
      <c r="F21" s="79">
        <v>690</v>
      </c>
      <c r="G21" s="80">
        <f t="shared" si="13"/>
        <v>100</v>
      </c>
      <c r="H21" s="79">
        <v>690</v>
      </c>
      <c r="I21" s="80">
        <f t="shared" si="14"/>
        <v>100</v>
      </c>
      <c r="J21" s="80">
        <f t="shared" si="11"/>
        <v>100</v>
      </c>
      <c r="K21" s="143"/>
      <c r="L21" s="144"/>
      <c r="M21" s="144"/>
      <c r="N21" s="144"/>
      <c r="O21" s="144"/>
      <c r="P21" s="145"/>
      <c r="Q21" s="73"/>
      <c r="R21" s="73"/>
    </row>
    <row r="22" spans="1:18" s="74" customFormat="1" ht="55.5" customHeight="1" thickBot="1" x14ac:dyDescent="0.25">
      <c r="A22" s="136"/>
      <c r="B22" s="139"/>
      <c r="C22" s="81" t="s">
        <v>101</v>
      </c>
      <c r="D22" s="82">
        <f>D19+D20+D21</f>
        <v>2167.6999999999998</v>
      </c>
      <c r="E22" s="82">
        <f>E19+E20+E21</f>
        <v>2167.6999999999998</v>
      </c>
      <c r="F22" s="82">
        <f>F19+F20+F21</f>
        <v>2167.6999999999998</v>
      </c>
      <c r="G22" s="83">
        <f t="shared" si="13"/>
        <v>100</v>
      </c>
      <c r="H22" s="82">
        <f>H19+H20+H21</f>
        <v>2167.6999999999998</v>
      </c>
      <c r="I22" s="82">
        <f t="shared" si="14"/>
        <v>100</v>
      </c>
      <c r="J22" s="82">
        <f t="shared" si="11"/>
        <v>100</v>
      </c>
      <c r="K22" s="146"/>
      <c r="L22" s="147"/>
      <c r="M22" s="147"/>
      <c r="N22" s="147"/>
      <c r="O22" s="147"/>
      <c r="P22" s="148"/>
      <c r="Q22" s="73"/>
      <c r="R22" s="73"/>
    </row>
    <row r="23" spans="1:18" s="74" customFormat="1" ht="36.75" customHeight="1" x14ac:dyDescent="0.2">
      <c r="A23" s="134">
        <v>6</v>
      </c>
      <c r="B23" s="137" t="s">
        <v>116</v>
      </c>
      <c r="C23" s="75" t="s">
        <v>30</v>
      </c>
      <c r="D23" s="76"/>
      <c r="E23" s="76"/>
      <c r="F23" s="76"/>
      <c r="G23" s="77" t="e">
        <f t="shared" ref="G23:G26" si="15">F23/D23*100</f>
        <v>#DIV/0!</v>
      </c>
      <c r="H23" s="76"/>
      <c r="I23" s="77"/>
      <c r="J23" s="77">
        <f t="shared" ref="J23:J26" si="16">IFERROR(H23/E23*100,0)</f>
        <v>0</v>
      </c>
      <c r="K23" s="140" t="s">
        <v>146</v>
      </c>
      <c r="L23" s="141"/>
      <c r="M23" s="141"/>
      <c r="N23" s="141"/>
      <c r="O23" s="141"/>
      <c r="P23" s="142"/>
      <c r="Q23" s="73"/>
      <c r="R23" s="73"/>
    </row>
    <row r="24" spans="1:18" s="74" customFormat="1" ht="36.75" customHeight="1" x14ac:dyDescent="0.2">
      <c r="A24" s="135"/>
      <c r="B24" s="138"/>
      <c r="C24" s="78" t="s">
        <v>28</v>
      </c>
      <c r="D24" s="79">
        <v>2930.2</v>
      </c>
      <c r="E24" s="79">
        <v>2930.2</v>
      </c>
      <c r="F24" s="79"/>
      <c r="G24" s="80">
        <f t="shared" si="15"/>
        <v>0</v>
      </c>
      <c r="H24" s="79"/>
      <c r="I24" s="80">
        <f t="shared" ref="I24:I26" si="17">IFERROR(H24/F24*100,0)</f>
        <v>0</v>
      </c>
      <c r="J24" s="80">
        <f t="shared" si="16"/>
        <v>0</v>
      </c>
      <c r="K24" s="143"/>
      <c r="L24" s="144"/>
      <c r="M24" s="144"/>
      <c r="N24" s="144"/>
      <c r="O24" s="144"/>
      <c r="P24" s="145"/>
      <c r="Q24" s="73"/>
      <c r="R24" s="73"/>
    </row>
    <row r="25" spans="1:18" s="74" customFormat="1" ht="36.75" customHeight="1" x14ac:dyDescent="0.2">
      <c r="A25" s="135"/>
      <c r="B25" s="138"/>
      <c r="C25" s="78" t="s">
        <v>100</v>
      </c>
      <c r="D25" s="79">
        <v>1315</v>
      </c>
      <c r="E25" s="79">
        <v>1315</v>
      </c>
      <c r="F25" s="79"/>
      <c r="G25" s="80">
        <f t="shared" si="15"/>
        <v>0</v>
      </c>
      <c r="H25" s="79"/>
      <c r="I25" s="80">
        <f t="shared" si="17"/>
        <v>0</v>
      </c>
      <c r="J25" s="80">
        <f t="shared" si="16"/>
        <v>0</v>
      </c>
      <c r="K25" s="143"/>
      <c r="L25" s="144"/>
      <c r="M25" s="144"/>
      <c r="N25" s="144"/>
      <c r="O25" s="144"/>
      <c r="P25" s="145"/>
      <c r="Q25" s="73"/>
      <c r="R25" s="73"/>
    </row>
    <row r="26" spans="1:18" s="74" customFormat="1" ht="55.5" customHeight="1" thickBot="1" x14ac:dyDescent="0.25">
      <c r="A26" s="136"/>
      <c r="B26" s="139"/>
      <c r="C26" s="81" t="s">
        <v>101</v>
      </c>
      <c r="D26" s="82">
        <f>D23+D24+D25</f>
        <v>4245.2</v>
      </c>
      <c r="E26" s="82">
        <f>E23+E24+E25</f>
        <v>4245.2</v>
      </c>
      <c r="F26" s="82">
        <f>F23+F24+F25</f>
        <v>0</v>
      </c>
      <c r="G26" s="83">
        <f t="shared" si="15"/>
        <v>0</v>
      </c>
      <c r="H26" s="82">
        <f>H23+H24+H25</f>
        <v>0</v>
      </c>
      <c r="I26" s="82">
        <f t="shared" si="17"/>
        <v>0</v>
      </c>
      <c r="J26" s="82">
        <f t="shared" si="16"/>
        <v>0</v>
      </c>
      <c r="K26" s="146"/>
      <c r="L26" s="147"/>
      <c r="M26" s="147"/>
      <c r="N26" s="147"/>
      <c r="O26" s="147"/>
      <c r="P26" s="148"/>
      <c r="Q26" s="73"/>
      <c r="R26" s="73"/>
    </row>
    <row r="27" spans="1:18" s="74" customFormat="1" ht="36.75" customHeight="1" x14ac:dyDescent="0.2">
      <c r="A27" s="134">
        <v>7</v>
      </c>
      <c r="B27" s="137" t="s">
        <v>117</v>
      </c>
      <c r="C27" s="75" t="s">
        <v>30</v>
      </c>
      <c r="D27" s="76"/>
      <c r="E27" s="76"/>
      <c r="F27" s="76"/>
      <c r="G27" s="77" t="e">
        <f t="shared" ref="G27:G30" si="18">F27/D27*100</f>
        <v>#DIV/0!</v>
      </c>
      <c r="H27" s="76"/>
      <c r="I27" s="77"/>
      <c r="J27" s="77">
        <f t="shared" ref="J27:J30" si="19">IFERROR(H27/E27*100,0)</f>
        <v>0</v>
      </c>
      <c r="K27" s="140" t="s">
        <v>145</v>
      </c>
      <c r="L27" s="141"/>
      <c r="M27" s="141"/>
      <c r="N27" s="141"/>
      <c r="O27" s="141"/>
      <c r="P27" s="142"/>
      <c r="Q27" s="73"/>
      <c r="R27" s="73"/>
    </row>
    <row r="28" spans="1:18" s="74" customFormat="1" ht="36.75" customHeight="1" x14ac:dyDescent="0.2">
      <c r="A28" s="135"/>
      <c r="B28" s="138"/>
      <c r="C28" s="78" t="s">
        <v>28</v>
      </c>
      <c r="D28" s="79"/>
      <c r="E28" s="79"/>
      <c r="F28" s="79"/>
      <c r="G28" s="80" t="e">
        <f t="shared" si="18"/>
        <v>#DIV/0!</v>
      </c>
      <c r="H28" s="79"/>
      <c r="I28" s="80">
        <f t="shared" ref="I28:I33" si="20">IFERROR(H28/F28*100,0)</f>
        <v>0</v>
      </c>
      <c r="J28" s="80">
        <f t="shared" si="19"/>
        <v>0</v>
      </c>
      <c r="K28" s="143"/>
      <c r="L28" s="144"/>
      <c r="M28" s="144"/>
      <c r="N28" s="144"/>
      <c r="O28" s="144"/>
      <c r="P28" s="145"/>
      <c r="Q28" s="73"/>
      <c r="R28" s="73"/>
    </row>
    <row r="29" spans="1:18" s="74" customFormat="1" ht="36.75" customHeight="1" x14ac:dyDescent="0.2">
      <c r="A29" s="135"/>
      <c r="B29" s="138"/>
      <c r="C29" s="78" t="s">
        <v>100</v>
      </c>
      <c r="D29" s="79"/>
      <c r="E29" s="79"/>
      <c r="F29" s="79"/>
      <c r="G29" s="80" t="e">
        <f t="shared" si="18"/>
        <v>#DIV/0!</v>
      </c>
      <c r="H29" s="79"/>
      <c r="I29" s="80">
        <f t="shared" si="20"/>
        <v>0</v>
      </c>
      <c r="J29" s="80">
        <f t="shared" si="19"/>
        <v>0</v>
      </c>
      <c r="K29" s="143"/>
      <c r="L29" s="144"/>
      <c r="M29" s="144"/>
      <c r="N29" s="144"/>
      <c r="O29" s="144"/>
      <c r="P29" s="145"/>
      <c r="Q29" s="73"/>
      <c r="R29" s="73"/>
    </row>
    <row r="30" spans="1:18" s="74" customFormat="1" ht="55.5" customHeight="1" thickBot="1" x14ac:dyDescent="0.25">
      <c r="A30" s="136"/>
      <c r="B30" s="139"/>
      <c r="C30" s="81" t="s">
        <v>101</v>
      </c>
      <c r="D30" s="82">
        <f>D27+D28+D29</f>
        <v>0</v>
      </c>
      <c r="E30" s="82">
        <f>E27+E28+E29</f>
        <v>0</v>
      </c>
      <c r="F30" s="82">
        <f>F27+F28+F29</f>
        <v>0</v>
      </c>
      <c r="G30" s="83" t="e">
        <f t="shared" si="18"/>
        <v>#DIV/0!</v>
      </c>
      <c r="H30" s="82">
        <f>H27+H28+H29</f>
        <v>0</v>
      </c>
      <c r="I30" s="82">
        <f t="shared" si="20"/>
        <v>0</v>
      </c>
      <c r="J30" s="82">
        <f t="shared" si="19"/>
        <v>0</v>
      </c>
      <c r="K30" s="146"/>
      <c r="L30" s="147"/>
      <c r="M30" s="147"/>
      <c r="N30" s="147"/>
      <c r="O30" s="147"/>
      <c r="P30" s="148"/>
      <c r="Q30" s="73"/>
      <c r="R30" s="73"/>
    </row>
    <row r="31" spans="1:18" s="74" customFormat="1" ht="36.75" customHeight="1" x14ac:dyDescent="0.2">
      <c r="A31" s="134"/>
      <c r="B31" s="137" t="s">
        <v>110</v>
      </c>
      <c r="C31" s="75" t="s">
        <v>30</v>
      </c>
      <c r="D31" s="76">
        <f>D15+D11+D7+D3+D19+D23+D27</f>
        <v>1023.5</v>
      </c>
      <c r="E31" s="76">
        <f t="shared" ref="E31:F31" si="21">E15+E11+E7+E3+E19+E23+E27</f>
        <v>1023.5</v>
      </c>
      <c r="F31" s="76">
        <f t="shared" si="21"/>
        <v>477.5</v>
      </c>
      <c r="G31" s="77">
        <f t="shared" si="1"/>
        <v>46.653639472398631</v>
      </c>
      <c r="H31" s="76">
        <f t="shared" ref="H31" si="22">H15+H11+H7+H3+H19+H23+H27</f>
        <v>477.5</v>
      </c>
      <c r="I31" s="80">
        <f t="shared" si="20"/>
        <v>100</v>
      </c>
      <c r="J31" s="77">
        <f t="shared" ref="J31:J34" si="23">IFERROR(H31/E31*100,0)</f>
        <v>46.653639472398631</v>
      </c>
      <c r="K31" s="140"/>
      <c r="L31" s="141"/>
      <c r="M31" s="141"/>
      <c r="N31" s="141"/>
      <c r="O31" s="141"/>
      <c r="P31" s="142"/>
      <c r="Q31" s="73"/>
      <c r="R31" s="73"/>
    </row>
    <row r="32" spans="1:18" s="74" customFormat="1" ht="36.75" customHeight="1" x14ac:dyDescent="0.2">
      <c r="A32" s="135"/>
      <c r="B32" s="138"/>
      <c r="C32" s="78" t="s">
        <v>28</v>
      </c>
      <c r="D32" s="76">
        <f t="shared" ref="D32:F33" si="24">D16+D12+D8+D4+D20+D24+D28</f>
        <v>47351</v>
      </c>
      <c r="E32" s="76">
        <f t="shared" si="24"/>
        <v>40814.199999999997</v>
      </c>
      <c r="F32" s="76">
        <f t="shared" si="24"/>
        <v>34749</v>
      </c>
      <c r="G32" s="77">
        <f t="shared" ref="G32:G33" si="25">F32/D32*100</f>
        <v>73.385989736225213</v>
      </c>
      <c r="H32" s="76">
        <f t="shared" ref="H32" si="26">H16+H12+H8+H4+H20+H24+H28</f>
        <v>34749</v>
      </c>
      <c r="I32" s="80">
        <f t="shared" si="20"/>
        <v>100</v>
      </c>
      <c r="J32" s="77">
        <f t="shared" ref="J32:J33" si="27">IFERROR(H32/E32*100,0)</f>
        <v>85.139485767208484</v>
      </c>
      <c r="K32" s="143"/>
      <c r="L32" s="144"/>
      <c r="M32" s="144"/>
      <c r="N32" s="144"/>
      <c r="O32" s="144"/>
      <c r="P32" s="145"/>
      <c r="Q32" s="73"/>
      <c r="R32" s="73"/>
    </row>
    <row r="33" spans="1:18" s="74" customFormat="1" ht="36.75" customHeight="1" x14ac:dyDescent="0.2">
      <c r="A33" s="135"/>
      <c r="B33" s="138"/>
      <c r="C33" s="78" t="s">
        <v>100</v>
      </c>
      <c r="D33" s="76">
        <f t="shared" si="24"/>
        <v>5013.8</v>
      </c>
      <c r="E33" s="76">
        <f t="shared" si="24"/>
        <v>5012.8</v>
      </c>
      <c r="F33" s="76">
        <f t="shared" si="24"/>
        <v>3054.9</v>
      </c>
      <c r="G33" s="77">
        <f t="shared" si="25"/>
        <v>60.929833659100886</v>
      </c>
      <c r="H33" s="76">
        <f t="shared" ref="H33" si="28">H17+H13+H9+H5+H21+H25+H29</f>
        <v>3054.9</v>
      </c>
      <c r="I33" s="80">
        <f t="shared" si="20"/>
        <v>100</v>
      </c>
      <c r="J33" s="77">
        <f t="shared" si="27"/>
        <v>60.941988509415893</v>
      </c>
      <c r="K33" s="143"/>
      <c r="L33" s="144"/>
      <c r="M33" s="144"/>
      <c r="N33" s="144"/>
      <c r="O33" s="144"/>
      <c r="P33" s="145"/>
      <c r="Q33" s="73"/>
      <c r="R33" s="73"/>
    </row>
    <row r="34" spans="1:18" s="74" customFormat="1" ht="28.5" customHeight="1" thickBot="1" x14ac:dyDescent="0.25">
      <c r="A34" s="136"/>
      <c r="B34" s="139"/>
      <c r="C34" s="81" t="s">
        <v>101</v>
      </c>
      <c r="D34" s="82">
        <f>D31+D32+D33</f>
        <v>53388.3</v>
      </c>
      <c r="E34" s="82">
        <f>E31+E32+E33</f>
        <v>46850.5</v>
      </c>
      <c r="F34" s="82">
        <f>F31+F32+F33</f>
        <v>38281.4</v>
      </c>
      <c r="G34" s="83">
        <f>F34/D34*100</f>
        <v>71.703725348063159</v>
      </c>
      <c r="H34" s="82">
        <f>H31+H32+H33</f>
        <v>38281.4</v>
      </c>
      <c r="I34" s="82">
        <f t="shared" ref="I34" si="29">IFERROR(H34/F34*100,0)</f>
        <v>100</v>
      </c>
      <c r="J34" s="82">
        <f t="shared" si="23"/>
        <v>81.709693599854859</v>
      </c>
      <c r="K34" s="146"/>
      <c r="L34" s="147"/>
      <c r="M34" s="147"/>
      <c r="N34" s="147"/>
      <c r="O34" s="147"/>
      <c r="P34" s="148"/>
      <c r="Q34" s="73"/>
      <c r="R34" s="73"/>
    </row>
  </sheetData>
  <mergeCells count="29">
    <mergeCell ref="B27:B30"/>
    <mergeCell ref="K27:P30"/>
    <mergeCell ref="A1:A2"/>
    <mergeCell ref="B1:B2"/>
    <mergeCell ref="C1:C2"/>
    <mergeCell ref="D1:I1"/>
    <mergeCell ref="K1:P2"/>
    <mergeCell ref="A3:A6"/>
    <mergeCell ref="B3:B6"/>
    <mergeCell ref="K3:P6"/>
    <mergeCell ref="A7:A10"/>
    <mergeCell ref="B7:B10"/>
    <mergeCell ref="K7:P10"/>
    <mergeCell ref="A31:A34"/>
    <mergeCell ref="B31:B34"/>
    <mergeCell ref="K31:P34"/>
    <mergeCell ref="A11:A14"/>
    <mergeCell ref="B11:B14"/>
    <mergeCell ref="K11:P14"/>
    <mergeCell ref="A15:A18"/>
    <mergeCell ref="B15:B18"/>
    <mergeCell ref="K15:P18"/>
    <mergeCell ref="A19:A22"/>
    <mergeCell ref="B19:B22"/>
    <mergeCell ref="K19:P22"/>
    <mergeCell ref="A23:A26"/>
    <mergeCell ref="B23:B26"/>
    <mergeCell ref="K23:P26"/>
    <mergeCell ref="A27:A30"/>
  </mergeCells>
  <pageMargins left="0" right="0" top="0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 СОВЕЩ. по программам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2021-11-24T04:42:35Z</dcterms:modified>
</cp:coreProperties>
</file>